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ft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<sst xmlns="http://schemas.openxmlformats.org/spreadsheetml/2006/main" count="8642" uniqueCount="1142">
  <si>
    <t xml:space="preserve">Title</t>
  </si>
  <si>
    <t xml:space="preserve">Subtitle</t>
  </si>
  <si>
    <t xml:space="preserve">Composer</t>
  </si>
  <si>
    <t xml:space="preserve">Orig. composer</t>
  </si>
  <si>
    <t xml:space="preserve">Source</t>
  </si>
  <si>
    <t xml:space="preserve">Document</t>
  </si>
  <si>
    <t xml:space="preserve">Volume</t>
  </si>
  <si>
    <t xml:space="preserve">Date</t>
  </si>
  <si>
    <t xml:space="preserve">Page</t>
  </si>
  <si>
    <t xml:space="preserve">Editor</t>
  </si>
  <si>
    <t xml:space="preserve">Encoder</t>
  </si>
  <si>
    <t xml:space="preserve">Arranger</t>
  </si>
  <si>
    <t xml:space="preserve">Intabulator</t>
  </si>
  <si>
    <t xml:space="preserve">Contributor</t>
  </si>
  <si>
    <t xml:space="preserve">Concordances</t>
  </si>
  <si>
    <t xml:space="preserve">Piece</t>
  </si>
  <si>
    <t xml:space="preserve">Section</t>
  </si>
  <si>
    <t xml:space="preserve">Type</t>
  </si>
  <si>
    <t xml:space="preserve">Key</t>
  </si>
  <si>
    <t xml:space="preserve">Difficulty</t>
  </si>
  <si>
    <t xml:space="preserve">Ensemble</t>
  </si>
  <si>
    <t xml:space="preserve">Part</t>
  </si>
  <si>
    <t xml:space="preserve">Remarks</t>
  </si>
  <si>
    <t xml:space="preserve">Recording</t>
  </si>
  <si>
    <t xml:space="preserve">Facsimile</t>
  </si>
  <si>
    <t xml:space="preserve">Fronimo</t>
  </si>
  <si>
    <t xml:space="preserve">PDF</t>
  </si>
  <si>
    <t xml:space="preserve">Midi</t>
  </si>
  <si>
    <t xml:space="preserve">Created</t>
  </si>
  <si>
    <t xml:space="preserve">Modified</t>
  </si>
  <si>
    <t xml:space="preserve">Sonata in C Major</t>
  </si>
  <si>
    <t xml:space="preserve">1. Moderato</t>
  </si>
  <si>
    <t xml:space="preserve">Karl Friedrich Abel</t>
  </si>
  <si>
    <t xml:space="preserve">GB-Lbl:British Library</t>
  </si>
  <si>
    <t xml:space="preserve">Add. MS 31697:Music Book of the Countess of Pembroke</t>
  </si>
  <si>
    <t xml:space="preserve">%1</t>
  </si>
  <si>
    <t xml:space="preserve">Sarge Gerbode</t>
  </si>
  <si>
    <t xml:space="preserve">sonata, moderato</t>
  </si>
  <si>
    <t xml:space="preserve">CM</t>
  </si>
  <si>
    <t xml:space="preserve">archlute, bass viol</t>
  </si>
  <si>
    <t xml:space="preserve">score</t>
  </si>
  <si>
    <t xml:space="preserve">archlute</t>
  </si>
  <si>
    <t xml:space="preserve">2.Tempo di Minuetto</t>
  </si>
  <si>
    <t xml:space="preserve">2. Tempo di Minuetto</t>
  </si>
  <si>
    <t xml:space="preserve">sonata, minuet</t>
  </si>
  <si>
    <t xml:space="preserve">O Villanella</t>
  </si>
  <si>
    <t xml:space="preserve">Lodovico Agostini</t>
  </si>
  <si>
    <t xml:space="preserve">Canzoni Alla Napolitana a cinque voci</t>
  </si>
  <si>
    <t xml:space="preserve">madrigal</t>
  </si>
  <si>
    <t xml:space="preserve">FM</t>
  </si>
  <si>
    <t xml:space="preserve">bass, tenor 2:tenor, tenor 1:tenor, alto, soprano</t>
  </si>
  <si>
    <t xml:space="preserve">lute song</t>
  </si>
  <si>
    <t xml:space="preserve">7-course, tenor</t>
  </si>
  <si>
    <t xml:space="preserve">7-course</t>
  </si>
  <si>
    <t xml:space="preserve">Fantasia 1</t>
  </si>
  <si>
    <t xml:space="preserve">Giovanni J. Albuzio</t>
  </si>
  <si>
    <t xml:space="preserve">Giovanni A. Casteliono</t>
  </si>
  <si>
    <t xml:space="preserve">Intabolatura da Leuto</t>
  </si>
  <si>
    <t xml:space="preserve">f.31</t>
  </si>
  <si>
    <t xml:space="preserve">Jason Kortis</t>
  </si>
  <si>
    <t xml:space="preserve">Fantasy</t>
  </si>
  <si>
    <t xml:space="preserve">fantasy</t>
  </si>
  <si>
    <t xml:space="preserve">Dm</t>
  </si>
  <si>
    <t xml:space="preserve">6-course</t>
  </si>
  <si>
    <t xml:space="preserve">40. Fantasy 2</t>
  </si>
  <si>
    <t xml:space="preserve">f.59</t>
  </si>
  <si>
    <t xml:space="preserve">Cm</t>
  </si>
  <si>
    <t xml:space="preserve">The Lord's Prayer</t>
  </si>
  <si>
    <t xml:space="preserve">Richard Allison</t>
  </si>
  <si>
    <t xml:space="preserve">Source unknown</t>
  </si>
  <si>
    <t xml:space="preserve">c.1599</t>
  </si>
  <si>
    <t xml:space="preserve">%22</t>
  </si>
  <si>
    <t xml:space="preserve">psalm</t>
  </si>
  <si>
    <t xml:space="preserve">Quadro Pavane</t>
  </si>
  <si>
    <t xml:space="preserve">GB-Cu:Cambridge University Library</t>
  </si>
  <si>
    <t xml:space="preserve">Dd.4.22</t>
  </si>
  <si>
    <t xml:space="preserve">f.4</t>
  </si>
  <si>
    <t xml:space="preserve">pavane</t>
  </si>
  <si>
    <t xml:space="preserve">Port Atholl</t>
  </si>
  <si>
    <t xml:space="preserve">Anonymous</t>
  </si>
  <si>
    <t xml:space="preserve">GB-En:National Library of Scotland, Edinburgh</t>
  </si>
  <si>
    <t xml:space="preserve">Acc.9769/Personal papers 84/1/6:Balcarres Lute Book</t>
  </si>
  <si>
    <t xml:space="preserve">p.10</t>
  </si>
  <si>
    <t xml:space="preserve">vocal intabulation</t>
  </si>
  <si>
    <t xml:space="preserve">GM</t>
  </si>
  <si>
    <t xml:space="preserve">11-course baroque</t>
  </si>
  <si>
    <t xml:space="preserve">A new Scots measure</t>
  </si>
  <si>
    <t xml:space="preserve">p.15</t>
  </si>
  <si>
    <t xml:space="preserve">dance</t>
  </si>
  <si>
    <t xml:space="preserve">Nathaniel Gordon</t>
  </si>
  <si>
    <t xml:space="preserve">p.21</t>
  </si>
  <si>
    <t xml:space="preserve">The broom of Caudin knows</t>
  </si>
  <si>
    <t xml:space="preserve">p.23</t>
  </si>
  <si>
    <t xml:space="preserve">Prelude 1</t>
  </si>
  <si>
    <t xml:space="preserve">Pierre Attaingnant</t>
  </si>
  <si>
    <t xml:space="preserve">Tres Breve et Familière Introduction</t>
  </si>
  <si>
    <t xml:space="preserve">p.2</t>
  </si>
  <si>
    <t xml:space="preserve">Prelude</t>
  </si>
  <si>
    <t xml:space="preserve">Lillybollaro and joy to the Person</t>
  </si>
  <si>
    <t xml:space="preserve">p.31</t>
  </si>
  <si>
    <t xml:space="preserve">I wish</t>
  </si>
  <si>
    <t xml:space="preserve">p.59</t>
  </si>
  <si>
    <t xml:space="preserve">For old long Syne</t>
  </si>
  <si>
    <t xml:space="preserve">p.68</t>
  </si>
  <si>
    <t xml:space="preserve">vocal intabulation, variations</t>
  </si>
  <si>
    <t xml:space="preserve">Basse danse la roqua el fuso</t>
  </si>
  <si>
    <t xml:space="preserve">Dixhuit basses dances</t>
  </si>
  <si>
    <t xml:space="preserve">p.6</t>
  </si>
  <si>
    <t xml:space="preserve">basse danse</t>
  </si>
  <si>
    <t xml:space="preserve">Monk's March</t>
  </si>
  <si>
    <t xml:space="preserve">p.80</t>
  </si>
  <si>
    <t xml:space="preserve">march</t>
  </si>
  <si>
    <t xml:space="preserve">La Gavotte Frondeuse</t>
  </si>
  <si>
    <t xml:space="preserve">p.84</t>
  </si>
  <si>
    <t xml:space="preserve">gavotte, variations</t>
  </si>
  <si>
    <t xml:space="preserve">Dragons</t>
  </si>
  <si>
    <t xml:space="preserve">p.86</t>
  </si>
  <si>
    <t xml:space="preserve">When she came in, she bobbed</t>
  </si>
  <si>
    <t xml:space="preserve">p.91</t>
  </si>
  <si>
    <t xml:space="preserve">Gm</t>
  </si>
  <si>
    <t xml:space="preserve">My Nannie</t>
  </si>
  <si>
    <t xml:space="preserve">p.114</t>
  </si>
  <si>
    <t xml:space="preserve">Canaries</t>
  </si>
  <si>
    <t xml:space="preserve">p.121</t>
  </si>
  <si>
    <t xml:space="preserve">canarie</t>
  </si>
  <si>
    <t xml:space="preserve">Hauberrois 1</t>
  </si>
  <si>
    <t xml:space="preserve">p.18</t>
  </si>
  <si>
    <t xml:space="preserve">branle, hauberrois</t>
  </si>
  <si>
    <t xml:space="preserve">Hauberrois 2</t>
  </si>
  <si>
    <t xml:space="preserve">p.19</t>
  </si>
  <si>
    <t xml:space="preserve">Devo's Gigue</t>
  </si>
  <si>
    <t xml:space="preserve">p.123</t>
  </si>
  <si>
    <t xml:space="preserve">jig</t>
  </si>
  <si>
    <t xml:space="preserve">Tristia</t>
  </si>
  <si>
    <t xml:space="preserve">D-B:Berlin State Library</t>
  </si>
  <si>
    <t xml:space="preserve">mus ms 40632</t>
  </si>
  <si>
    <t xml:space="preserve">f.50v</t>
  </si>
  <si>
    <t xml:space="preserve">Untitled</t>
  </si>
  <si>
    <t xml:space="preserve">ms add 3056:Cosens lute book</t>
  </si>
  <si>
    <t xml:space="preserve">f.1</t>
  </si>
  <si>
    <t xml:space="preserve">Jewell</t>
  </si>
  <si>
    <t xml:space="preserve">Dd.5.78.3</t>
  </si>
  <si>
    <t xml:space="preserve">f.49b</t>
  </si>
  <si>
    <t xml:space="preserve">8-course</t>
  </si>
  <si>
    <t xml:space="preserve">The sick tune</t>
  </si>
  <si>
    <t xml:space="preserve">f.39b</t>
  </si>
  <si>
    <t xml:space="preserve">toy</t>
  </si>
  <si>
    <t xml:space="preserve">Ut re mi fa sol la</t>
  </si>
  <si>
    <t xml:space="preserve">ms M1353:Hirsch lute book</t>
  </si>
  <si>
    <t xml:space="preserve">c.1595</t>
  </si>
  <si>
    <t xml:space="preserve">f.64v</t>
  </si>
  <si>
    <t xml:space="preserve">ut re mi fa sol la, fantasy</t>
  </si>
  <si>
    <t xml:space="preserve">BbM</t>
  </si>
  <si>
    <t xml:space="preserve">A Downe</t>
  </si>
  <si>
    <t xml:space="preserve">Unknown</t>
  </si>
  <si>
    <t xml:space="preserve">GB-Cu:Cambridge University Library Dd.2.11b</t>
  </si>
  <si>
    <t xml:space="preserve">f.94b</t>
  </si>
  <si>
    <t xml:space="preserve">down, variations</t>
  </si>
  <si>
    <t xml:space="preserve">Bonny sweet boy</t>
  </si>
  <si>
    <t xml:space="preserve">Dd.2.11b</t>
  </si>
  <si>
    <t xml:space="preserve">f.66b</t>
  </si>
  <si>
    <t xml:space="preserve">Thomas Robinson</t>
  </si>
  <si>
    <t xml:space="preserve">Schoole of Musicke</t>
  </si>
  <si>
    <t xml:space="preserve">p.m2</t>
  </si>
  <si>
    <t xml:space="preserve">B P K in Polen</t>
  </si>
  <si>
    <t xml:space="preserve">PL-Lw:University of Gdansk Library</t>
  </si>
  <si>
    <t xml:space="preserve">ms 4022</t>
  </si>
  <si>
    <t xml:space="preserve">f.32c</t>
  </si>
  <si>
    <t xml:space="preserve">Donna Curry</t>
  </si>
  <si>
    <t xml:space="preserve">polish dance</t>
  </si>
  <si>
    <t xml:space="preserve">Brande Joctomdeyne</t>
  </si>
  <si>
    <t xml:space="preserve">Joachim van den Hove</t>
  </si>
  <si>
    <t xml:space="preserve">Delitiae musicae</t>
  </si>
  <si>
    <t xml:space="preserve">p.62</t>
  </si>
  <si>
    <t xml:space="preserve">branle</t>
  </si>
  <si>
    <t xml:space="preserve">Fm</t>
  </si>
  <si>
    <t xml:space="preserve">Canarie</t>
  </si>
  <si>
    <t xml:space="preserve">Delitiae Musicae</t>
  </si>
  <si>
    <t xml:space="preserve">p.66</t>
  </si>
  <si>
    <t xml:space="preserve">Coranto</t>
  </si>
  <si>
    <t xml:space="preserve">%9</t>
  </si>
  <si>
    <t xml:space="preserve">coranto</t>
  </si>
  <si>
    <t xml:space="preserve">Dargesson</t>
  </si>
  <si>
    <t xml:space="preserve">f.8</t>
  </si>
  <si>
    <t xml:space="preserve">Delacourt Pavane</t>
  </si>
  <si>
    <t xml:space="preserve">GB-Lspencer:Private Library of Robert Spencer</t>
  </si>
  <si>
    <t xml:space="preserve">Margaret Board lute book</t>
  </si>
  <si>
    <t xml:space="preserve">f.1v</t>
  </si>
  <si>
    <t xml:space="preserve">Depairte, depairte</t>
  </si>
  <si>
    <t xml:space="preserve">%87</t>
  </si>
  <si>
    <t xml:space="preserve">Draw near me and love me</t>
  </si>
  <si>
    <t xml:space="preserve">ms Eg. 2046:Pickering lute book</t>
  </si>
  <si>
    <t xml:space="preserve">f.28c</t>
  </si>
  <si>
    <t xml:space="preserve">The Eglantine Branch</t>
  </si>
  <si>
    <t xml:space="preserve">f.25c</t>
  </si>
  <si>
    <t xml:space="preserve">The Gillyflower</t>
  </si>
  <si>
    <t xml:space="preserve">f.25vb</t>
  </si>
  <si>
    <t xml:space="preserve">Home again, market is done</t>
  </si>
  <si>
    <t xml:space="preserve">f.11a</t>
  </si>
  <si>
    <t xml:space="preserve">Italiana</t>
  </si>
  <si>
    <t xml:space="preserve">Oscar Chilesotti</t>
  </si>
  <si>
    <t xml:space="preserve">Da un codice lauten-buch</t>
  </si>
  <si>
    <t xml:space="preserve">galliard</t>
  </si>
  <si>
    <t xml:space="preserve">I can not keep my wife at home</t>
  </si>
  <si>
    <t xml:space="preserve">f.11b</t>
  </si>
  <si>
    <t xml:space="preserve">Joan to the maypole</t>
  </si>
  <si>
    <t xml:space="preserve">f.27b</t>
  </si>
  <si>
    <t xml:space="preserve">Knowles?</t>
  </si>
  <si>
    <t xml:space="preserve">US-NH:Yale University Music Library</t>
  </si>
  <si>
    <t xml:space="preserve">Ma.21.W.632:Wickhambrook Lute Book</t>
  </si>
  <si>
    <t xml:space="preserve">#22</t>
  </si>
  <si>
    <t xml:space="preserve">Lord Zouche's Mask</t>
  </si>
  <si>
    <t xml:space="preserve">Mynshall lute book</t>
  </si>
  <si>
    <t xml:space="preserve">f.7v</t>
  </si>
  <si>
    <t xml:space="preserve">masque</t>
  </si>
  <si>
    <t xml:space="preserve">Lullaby</t>
  </si>
  <si>
    <t xml:space="preserve">f.65</t>
  </si>
  <si>
    <t xml:space="preserve">lullaby</t>
  </si>
  <si>
    <t xml:space="preserve">Panis quam ego</t>
  </si>
  <si>
    <t xml:space="preserve">Giovanni P. da Palestrina?</t>
  </si>
  <si>
    <t xml:space="preserve">Peg-a-Ramsey</t>
  </si>
  <si>
    <t xml:space="preserve">GB-WPforester:Lord Forester Library</t>
  </si>
  <si>
    <t xml:space="preserve">MS D.1.21:William Ballet's Lute Book</t>
  </si>
  <si>
    <t xml:space="preserve">f.7b</t>
  </si>
  <si>
    <t xml:space="preserve">Peg-A-Ramsey</t>
  </si>
  <si>
    <t xml:space="preserve">Toy 1</t>
  </si>
  <si>
    <t xml:space="preserve">f.15a</t>
  </si>
  <si>
    <t xml:space="preserve">Toy 2</t>
  </si>
  <si>
    <t xml:space="preserve">f.15b</t>
  </si>
  <si>
    <t xml:space="preserve">Polish Dance 1</t>
  </si>
  <si>
    <t xml:space="preserve">f.29vb</t>
  </si>
  <si>
    <t xml:space="preserve">Polish Dance 2</t>
  </si>
  <si>
    <t xml:space="preserve">Progresse</t>
  </si>
  <si>
    <t xml:space="preserve">f.49</t>
  </si>
  <si>
    <t xml:space="preserve">allemande</t>
  </si>
  <si>
    <t xml:space="preserve">Scottish Hunt's Up</t>
  </si>
  <si>
    <t xml:space="preserve">f.5v</t>
  </si>
  <si>
    <t xml:space="preserve">hunt</t>
  </si>
  <si>
    <t xml:space="preserve">Sellinger's Rownd</t>
  </si>
  <si>
    <t xml:space="preserve">f.12</t>
  </si>
  <si>
    <t xml:space="preserve">round, toy</t>
  </si>
  <si>
    <t xml:space="preserve">The Gray's Inn Masque</t>
  </si>
  <si>
    <t xml:space="preserve">f.38vb</t>
  </si>
  <si>
    <t xml:space="preserve">The Grays Inn masque</t>
  </si>
  <si>
    <t xml:space="preserve">10-course</t>
  </si>
  <si>
    <t xml:space="preserve">The Maids in constrite</t>
  </si>
  <si>
    <t xml:space="preserve">f.30b</t>
  </si>
  <si>
    <t xml:space="preserve">The Morris</t>
  </si>
  <si>
    <t xml:space="preserve">f.8b</t>
  </si>
  <si>
    <t xml:space="preserve">The Moris</t>
  </si>
  <si>
    <t xml:space="preserve">f.18v</t>
  </si>
  <si>
    <t xml:space="preserve">Vaghe belleze</t>
  </si>
  <si>
    <t xml:space="preserve">Walsingham</t>
  </si>
  <si>
    <t xml:space="preserve">f.17</t>
  </si>
  <si>
    <t xml:space="preserve">Wilson's Wilde</t>
  </si>
  <si>
    <t xml:space="preserve">Sampson lute book</t>
  </si>
  <si>
    <t xml:space="preserve">f.4b</t>
  </si>
  <si>
    <t xml:space="preserve">Alle psallite cum luya</t>
  </si>
  <si>
    <t xml:space="preserve">F-MOf:Facultè de Medecine, Montpellier</t>
  </si>
  <si>
    <t xml:space="preserve">H 196:Montpellier Manuscript</t>
  </si>
  <si>
    <t xml:space="preserve">religious</t>
  </si>
  <si>
    <t xml:space="preserve">Dance 2</t>
  </si>
  <si>
    <t xml:space="preserve">%2</t>
  </si>
  <si>
    <t xml:space="preserve">dance, pavane</t>
  </si>
  <si>
    <t xml:space="preserve">Dance 3</t>
  </si>
  <si>
    <t xml:space="preserve">%3</t>
  </si>
  <si>
    <t xml:space="preserve">Dance 4</t>
  </si>
  <si>
    <t xml:space="preserve">%4</t>
  </si>
  <si>
    <t xml:space="preserve">saltarello</t>
  </si>
  <si>
    <t xml:space="preserve">Branle de Poictou 1</t>
  </si>
  <si>
    <t xml:space="preserve">p.19b</t>
  </si>
  <si>
    <t xml:space="preserve">branle de Poictu</t>
  </si>
  <si>
    <t xml:space="preserve">Branle simple 2</t>
  </si>
  <si>
    <t xml:space="preserve">branle simple</t>
  </si>
  <si>
    <t xml:space="preserve">Branle gay 8</t>
  </si>
  <si>
    <t xml:space="preserve">f.75</t>
  </si>
  <si>
    <t xml:space="preserve">branle gay</t>
  </si>
  <si>
    <t xml:space="preserve">Branles</t>
  </si>
  <si>
    <t xml:space="preserve">%23</t>
  </si>
  <si>
    <t xml:space="preserve">branles</t>
  </si>
  <si>
    <t xml:space="preserve">Courante G-Dur</t>
  </si>
  <si>
    <t xml:space="preserve">CZ-Pu:Czeck Republic State Library</t>
  </si>
  <si>
    <t xml:space="preserve">MS I Kk.73</t>
  </si>
  <si>
    <t xml:space="preserve">courante</t>
  </si>
  <si>
    <t xml:space="preserve">Currant 1</t>
  </si>
  <si>
    <t xml:space="preserve">Dd.9.33c</t>
  </si>
  <si>
    <t xml:space="preserve">f.57va</t>
  </si>
  <si>
    <t xml:space="preserve">Currant 2</t>
  </si>
  <si>
    <t xml:space="preserve">ms Add 38539:John Sturt lute book</t>
  </si>
  <si>
    <t xml:space="preserve">f.3a</t>
  </si>
  <si>
    <t xml:space="preserve">Currant 3</t>
  </si>
  <si>
    <t xml:space="preserve">GB-Eu:Edinburgh University Library</t>
  </si>
  <si>
    <t xml:space="preserve">MS. La.III.487</t>
  </si>
  <si>
    <t xml:space="preserve">f.6</t>
  </si>
  <si>
    <t xml:space="preserve">Estampida 3</t>
  </si>
  <si>
    <t xml:space="preserve">Source unknown.</t>
  </si>
  <si>
    <t xml:space="preserve">Estampida</t>
  </si>
  <si>
    <t xml:space="preserve">estampie</t>
  </si>
  <si>
    <t xml:space="preserve">Estampida 1</t>
  </si>
  <si>
    <t xml:space="preserve">Estampidà 2</t>
  </si>
  <si>
    <t xml:space="preserve">Alio Galliard</t>
  </si>
  <si>
    <t xml:space="preserve">Florida</t>
  </si>
  <si>
    <t xml:space="preserve">f.82</t>
  </si>
  <si>
    <t xml:space="preserve">Galliard</t>
  </si>
  <si>
    <t xml:space="preserve">%20</t>
  </si>
  <si>
    <t xml:space="preserve">%8</t>
  </si>
  <si>
    <t xml:space="preserve">f.3</t>
  </si>
  <si>
    <t xml:space="preserve">Passymeasures Galliard</t>
  </si>
  <si>
    <t xml:space="preserve">f.8v</t>
  </si>
  <si>
    <t xml:space="preserve">Southwell's Galliard</t>
  </si>
  <si>
    <t xml:space="preserve">f.68</t>
  </si>
  <si>
    <t xml:space="preserve">Galliard - La Gambe</t>
  </si>
  <si>
    <t xml:space="preserve">Johan Thijs</t>
  </si>
  <si>
    <t xml:space="preserve">NL-Lu:Bibliotheca Thijsiana, Leiden</t>
  </si>
  <si>
    <t xml:space="preserve">MS 1666:The Thysius lute book</t>
  </si>
  <si>
    <t xml:space="preserve">f.5</t>
  </si>
  <si>
    <t xml:space="preserve">Kemp's Jig</t>
  </si>
  <si>
    <t xml:space="preserve">f.99v</t>
  </si>
  <si>
    <t xml:space="preserve">Jig</t>
  </si>
  <si>
    <t xml:space="preserve">The French King's Maske</t>
  </si>
  <si>
    <t xml:space="preserve">Also the Earl of Derby's Coranto</t>
  </si>
  <si>
    <t xml:space="preserve">Nachtanz 1</t>
  </si>
  <si>
    <t xml:space="preserve">%11</t>
  </si>
  <si>
    <t xml:space="preserve">dance, nachtanz</t>
  </si>
  <si>
    <t xml:space="preserve">Nachtanz 3</t>
  </si>
  <si>
    <t xml:space="preserve">%10</t>
  </si>
  <si>
    <t xml:space="preserve">DM</t>
  </si>
  <si>
    <t xml:space="preserve">Pazzamezzo</t>
  </si>
  <si>
    <t xml:space="preserve">%24</t>
  </si>
  <si>
    <t xml:space="preserve">Passamezzo</t>
  </si>
  <si>
    <t xml:space="preserve">Pierre Phalèse</t>
  </si>
  <si>
    <t xml:space="preserve">Luculentum Theatrum</t>
  </si>
  <si>
    <t xml:space="preserve">f.66v</t>
  </si>
  <si>
    <t xml:space="preserve">Passamezzo d'Italye</t>
  </si>
  <si>
    <t xml:space="preserve">f.65v</t>
  </si>
  <si>
    <t xml:space="preserve">Pavane - Blondeau</t>
  </si>
  <si>
    <t xml:space="preserve">p.37</t>
  </si>
  <si>
    <t xml:space="preserve">Pavane</t>
  </si>
  <si>
    <t xml:space="preserve">EbM</t>
  </si>
  <si>
    <t xml:space="preserve">The Duke of Somerset's Reverie</t>
  </si>
  <si>
    <t xml:space="preserve">Royal Appendix 58</t>
  </si>
  <si>
    <t xml:space="preserve">Eric Crouch</t>
  </si>
  <si>
    <t xml:space="preserve">Guy Fourchet</t>
  </si>
  <si>
    <t xml:space="preserve">dump, pavane</t>
  </si>
  <si>
    <t xml:space="preserve">Pavana</t>
  </si>
  <si>
    <t xml:space="preserve">%25</t>
  </si>
  <si>
    <t xml:space="preserve">Pavane - La Desperata</t>
  </si>
  <si>
    <t xml:space="preserve">Theatrum Musicum</t>
  </si>
  <si>
    <t xml:space="preserve">f.61v</t>
  </si>
  <si>
    <t xml:space="preserve">Pavane Regia</t>
  </si>
  <si>
    <t xml:space="preserve">Ludovico Milliare</t>
  </si>
  <si>
    <t xml:space="preserve">Milliare Songbook</t>
  </si>
  <si>
    <t xml:space="preserve">Pavane 5</t>
  </si>
  <si>
    <t xml:space="preserve">p.35</t>
  </si>
  <si>
    <t xml:space="preserve">Pavane I</t>
  </si>
  <si>
    <t xml:space="preserve">Ilse Hechler</t>
  </si>
  <si>
    <t xml:space="preserve">Quelle</t>
  </si>
  <si>
    <t xml:space="preserve">Mathias Rösel</t>
  </si>
  <si>
    <t xml:space="preserve">bass viol, tenor viol, treble viol, 8-course</t>
  </si>
  <si>
    <t xml:space="preserve">Pavane II</t>
  </si>
  <si>
    <t xml:space="preserve">8-course, bass viol, tenor viol, treble viol</t>
  </si>
  <si>
    <t xml:space="preserve">Pavane III</t>
  </si>
  <si>
    <t xml:space="preserve">Pavane IV</t>
  </si>
  <si>
    <t xml:space="preserve">Saltarello darauff</t>
  </si>
  <si>
    <t xml:space="preserve">D-Mbs:Bayerische Staatsbibliothek</t>
  </si>
  <si>
    <t xml:space="preserve">mus ms 1512</t>
  </si>
  <si>
    <t xml:space="preserve">f.60</t>
  </si>
  <si>
    <t xml:space="preserve">f.62</t>
  </si>
  <si>
    <t xml:space="preserve">Saltarello</t>
  </si>
  <si>
    <t xml:space="preserve">Volta</t>
  </si>
  <si>
    <t xml:space="preserve">volta</t>
  </si>
  <si>
    <t xml:space="preserve">Daphne</t>
  </si>
  <si>
    <t xml:space="preserve">Lute song</t>
  </si>
  <si>
    <t xml:space="preserve">Soprano, 8-course</t>
  </si>
  <si>
    <t xml:space="preserve">violin, 8-course</t>
  </si>
  <si>
    <t xml:space="preserve">8-course, violin</t>
  </si>
  <si>
    <t xml:space="preserve">Ricercar</t>
  </si>
  <si>
    <t xml:space="preserve">Francesco da Milano</t>
  </si>
  <si>
    <t xml:space="preserve">Castelfranco MS</t>
  </si>
  <si>
    <t xml:space="preserve">John H Robinson</t>
  </si>
  <si>
    <t xml:space="preserve">John H. Robinson</t>
  </si>
  <si>
    <t xml:space="preserve">J.H. Robinson</t>
  </si>
  <si>
    <t xml:space="preserve">ricercar</t>
  </si>
  <si>
    <t xml:space="preserve">Fantasy 10</t>
  </si>
  <si>
    <t xml:space="preserve">Greensleeves</t>
  </si>
  <si>
    <t xml:space="preserve">Traditional 16th Century popular song</t>
  </si>
  <si>
    <t xml:space="preserve">Source Unknown</t>
  </si>
  <si>
    <t xml:space="preserve">%17</t>
  </si>
  <si>
    <t xml:space="preserve">Corante, Hofmeister Teil II</t>
  </si>
  <si>
    <t xml:space="preserve">A-Lia:Oberösterreichisches Landesmuseum, Linz</t>
  </si>
  <si>
    <t xml:space="preserve">Nürnberg lute book</t>
  </si>
  <si>
    <t xml:space="preserve">p.74</t>
  </si>
  <si>
    <t xml:space="preserve">Galliard - Aliter</t>
  </si>
  <si>
    <t xml:space="preserve">And let me the canakin clink</t>
  </si>
  <si>
    <t xml:space="preserve">William Shakespeare</t>
  </si>
  <si>
    <t xml:space="preserve">Othello</t>
  </si>
  <si>
    <t xml:space="preserve">tenor, 7-course</t>
  </si>
  <si>
    <t xml:space="preserve">Ay Luna que reluzes</t>
  </si>
  <si>
    <t xml:space="preserve">S-Uu:Uppsala University Library</t>
  </si>
  <si>
    <t xml:space="preserve">Villancicos de diverso autores:Cancionero de Uppsala</t>
  </si>
  <si>
    <t xml:space="preserve">tenor, 6-course</t>
  </si>
  <si>
    <t xml:space="preserve">D'un coeur loyal</t>
  </si>
  <si>
    <t xml:space="preserve">Emanuel Adriaenssen</t>
  </si>
  <si>
    <t xml:space="preserve">Pratum Musicum</t>
  </si>
  <si>
    <t xml:space="preserve">#9</t>
  </si>
  <si>
    <t xml:space="preserve">Alain Veylit</t>
  </si>
  <si>
    <t xml:space="preserve">madrigal, lute song</t>
  </si>
  <si>
    <t xml:space="preserve">bass, soprano, 6-course</t>
  </si>
  <si>
    <t xml:space="preserve">Fortune, laisse moy la vie</t>
  </si>
  <si>
    <t xml:space="preserve">p.9</t>
  </si>
  <si>
    <t xml:space="preserve">alto, 7-course</t>
  </si>
  <si>
    <t xml:space="preserve">alto, 6-course</t>
  </si>
  <si>
    <t xml:space="preserve">Ghevare, Ghevare hoe staet</t>
  </si>
  <si>
    <t xml:space="preserve">#17</t>
  </si>
  <si>
    <t xml:space="preserve">Go from my Window</t>
  </si>
  <si>
    <t xml:space="preserve">%12</t>
  </si>
  <si>
    <t xml:space="preserve">Goe my flocke</t>
  </si>
  <si>
    <t xml:space="preserve">Poem by Sir Phillip Sidney</t>
  </si>
  <si>
    <t xml:space="preserve">Robert Dowland</t>
  </si>
  <si>
    <t xml:space="preserve">A Musicall Banquet</t>
  </si>
  <si>
    <t xml:space="preserve">f.c2v</t>
  </si>
  <si>
    <t xml:space="preserve">bass viol, soprano, 6-course</t>
  </si>
  <si>
    <t xml:space="preserve">soprano, 6-course</t>
  </si>
  <si>
    <t xml:space="preserve">bass viol</t>
  </si>
  <si>
    <t xml:space="preserve">Em</t>
  </si>
  <si>
    <t xml:space="preserve">alto, 8-course</t>
  </si>
  <si>
    <t xml:space="preserve">A caroll for New-yeare's day</t>
  </si>
  <si>
    <t xml:space="preserve">To the tune of Greensleeves</t>
  </si>
  <si>
    <t xml:space="preserve">GB-Ob:Bodleian Library, Oxford</t>
  </si>
  <si>
    <t xml:space="preserve">Wood #3: New Christmas Carols</t>
  </si>
  <si>
    <t xml:space="preserve">Humble Pitie</t>
  </si>
  <si>
    <t xml:space="preserve">Canonici Misc. 213</t>
  </si>
  <si>
    <t xml:space="preserve">Trystero Montevideo</t>
  </si>
  <si>
    <t xml:space="preserve">J'ai veu le cerf</t>
  </si>
  <si>
    <t xml:space="preserve">f.61</t>
  </si>
  <si>
    <t xml:space="preserve">bass, tenor, alto, soprano, 7-course</t>
  </si>
  <si>
    <t xml:space="preserve">Miserere, my Maker</t>
  </si>
  <si>
    <t xml:space="preserve">GB-Ckc:Rowe Music Library, King's College, Cambridge</t>
  </si>
  <si>
    <t xml:space="preserve">mus. ms. Rowe MS 2:Turpyn Lute Book</t>
  </si>
  <si>
    <t xml:space="preserve">f.12v</t>
  </si>
  <si>
    <t xml:space="preserve">Michael Wilhite</t>
  </si>
  <si>
    <t xml:space="preserve">bass viol, alto, 8-course</t>
  </si>
  <si>
    <t xml:space="preserve">bass viol, alto</t>
  </si>
  <si>
    <t xml:space="preserve">O dear life, when shall it be</t>
  </si>
  <si>
    <t xml:space="preserve">f.d1v</t>
  </si>
  <si>
    <t xml:space="preserve">bass viol, soprano, 7-course</t>
  </si>
  <si>
    <t xml:space="preserve">soprano, 7-course</t>
  </si>
  <si>
    <t xml:space="preserve">Oh mistress mine</t>
  </si>
  <si>
    <t xml:space="preserve">William Byrd</t>
  </si>
  <si>
    <t xml:space="preserve">GB-Cfm:Fitzwilliam Museum</t>
  </si>
  <si>
    <t xml:space="preserve">Fitzwilliam Virginal Book</t>
  </si>
  <si>
    <t xml:space="preserve">Passava Amor</t>
  </si>
  <si>
    <t xml:space="preserve">Poem by Jorge de Montemayor</t>
  </si>
  <si>
    <t xml:space="preserve">f.h2v</t>
  </si>
  <si>
    <t xml:space="preserve">7-course, bass viol, soprano</t>
  </si>
  <si>
    <t xml:space="preserve">7-course, soprano</t>
  </si>
  <si>
    <t xml:space="preserve">The pretty, sweet Jinny</t>
  </si>
  <si>
    <t xml:space="preserve">tenor, 8-course</t>
  </si>
  <si>
    <t xml:space="preserve">Quant la doulce jouvencelle</t>
  </si>
  <si>
    <t xml:space="preserve">Quel lamp'esser vorrei</t>
  </si>
  <si>
    <t xml:space="preserve">#12</t>
  </si>
  <si>
    <t xml:space="preserve">bass, alto, 6-course</t>
  </si>
  <si>
    <t xml:space="preserve">Riu, riu, chiu</t>
  </si>
  <si>
    <t xml:space="preserve">lute song, christmas</t>
  </si>
  <si>
    <t xml:space="preserve">6-course, bass, alto</t>
  </si>
  <si>
    <t xml:space="preserve">Robin is to the green wood gone</t>
  </si>
  <si>
    <t xml:space="preserve">%77</t>
  </si>
  <si>
    <t xml:space="preserve">Se di far mi morire</t>
  </si>
  <si>
    <t xml:space="preserve">Dominico Maria Melli</t>
  </si>
  <si>
    <t xml:space="preserve">f.k1v</t>
  </si>
  <si>
    <t xml:space="preserve">Sta notte mi sognava</t>
  </si>
  <si>
    <t xml:space="preserve">f.i1v</t>
  </si>
  <si>
    <t xml:space="preserve">bass viol, soprano, 8-course</t>
  </si>
  <si>
    <t xml:space="preserve">soprano, 8-course</t>
  </si>
  <si>
    <t xml:space="preserve">This merry pleasant spring</t>
  </si>
  <si>
    <t xml:space="preserve">Add. MS 17786-91</t>
  </si>
  <si>
    <t xml:space="preserve">Three Merry Men</t>
  </si>
  <si>
    <t xml:space="preserve">Twelfth Night II-3</t>
  </si>
  <si>
    <t xml:space="preserve">When that I was and a little tiny boy</t>
  </si>
  <si>
    <t xml:space="preserve">Twelfth Night V-1</t>
  </si>
  <si>
    <t xml:space="preserve">Am</t>
  </si>
  <si>
    <t xml:space="preserve">Vestros ojos tienen d'amor</t>
  </si>
  <si>
    <t xml:space="preserve">f.i2v</t>
  </si>
  <si>
    <t xml:space="preserve">bass viol, alto, 7-course</t>
  </si>
  <si>
    <t xml:space="preserve">Vestros oios tienen d'amor</t>
  </si>
  <si>
    <t xml:space="preserve">Stella splendens</t>
  </si>
  <si>
    <t xml:space="preserve">E-MO:Monastery of Monserrat, Barcelona</t>
  </si>
  <si>
    <t xml:space="preserve">Codex Libre Vermell de Montserrat</t>
  </si>
  <si>
    <t xml:space="preserve">Tedesca</t>
  </si>
  <si>
    <t xml:space="preserve">%21</t>
  </si>
  <si>
    <t xml:space="preserve">tedesca, allemande</t>
  </si>
  <si>
    <t xml:space="preserve">Suite in D Minor</t>
  </si>
  <si>
    <t xml:space="preserve">1. Air</t>
  </si>
  <si>
    <t xml:space="preserve">A-Wn:Austrian National Library</t>
  </si>
  <si>
    <t xml:space="preserve">Mus.Hs.18761:Vienna Manuscript</t>
  </si>
  <si>
    <t xml:space="preserve">Richard Civiol</t>
  </si>
  <si>
    <t xml:space="preserve">air, suite</t>
  </si>
  <si>
    <t xml:space="preserve">2. Minuet</t>
  </si>
  <si>
    <t xml:space="preserve">2. minuet</t>
  </si>
  <si>
    <t xml:space="preserve">suite, minuet</t>
  </si>
  <si>
    <t xml:space="preserve">3. Minuet</t>
  </si>
  <si>
    <t xml:space="preserve">3. minuet</t>
  </si>
  <si>
    <t xml:space="preserve">4. Minuet</t>
  </si>
  <si>
    <t xml:space="preserve">F-Pc:Bibliothèque du Conservatoire</t>
  </si>
  <si>
    <t xml:space="preserve">Res. VMD MS 27:Thibault Manuscript</t>
  </si>
  <si>
    <t xml:space="preserve">f.17v-18</t>
  </si>
  <si>
    <t xml:space="preserve">Richard Darsie</t>
  </si>
  <si>
    <t xml:space="preserve">ricercar, fantasy</t>
  </si>
  <si>
    <t xml:space="preserve">f.22v</t>
  </si>
  <si>
    <t xml:space="preserve">Spagna</t>
  </si>
  <si>
    <t xml:space="preserve">f.19v-20v</t>
  </si>
  <si>
    <t xml:space="preserve">basse dance, spagna</t>
  </si>
  <si>
    <t xml:space="preserve">What if a day</t>
  </si>
  <si>
    <t xml:space="preserve">p.127</t>
  </si>
  <si>
    <t xml:space="preserve">Dove son quei fieri occhi</t>
  </si>
  <si>
    <t xml:space="preserve">%5</t>
  </si>
  <si>
    <t xml:space="preserve">Go from my window</t>
  </si>
  <si>
    <t xml:space="preserve">Io vorrei pur fuggir</t>
  </si>
  <si>
    <t xml:space="preserve">%6</t>
  </si>
  <si>
    <t xml:space="preserve">Las, je ne puis plus nullement durer</t>
  </si>
  <si>
    <t xml:space="preserve">%98</t>
  </si>
  <si>
    <t xml:space="preserve">Trystero Montevideo and Cezar Mate</t>
  </si>
  <si>
    <t xml:space="preserve">Trystero Montevideo and Cezar Mateus</t>
  </si>
  <si>
    <t xml:space="preserve">5-course</t>
  </si>
  <si>
    <t xml:space="preserve">La doulce fleur</t>
  </si>
  <si>
    <t xml:space="preserve">%7</t>
  </si>
  <si>
    <t xml:space="preserve">Le souvenir de vous me tue</t>
  </si>
  <si>
    <t xml:space="preserve">Robert Morton</t>
  </si>
  <si>
    <t xml:space="preserve">D-Wla:Landeskirchlichesarchiv, Wolfenbüttel</t>
  </si>
  <si>
    <t xml:space="preserve">MS. Extrav.287:Wolfenbüttel Chansonnier</t>
  </si>
  <si>
    <t xml:space="preserve">Se io m'accorgo ben</t>
  </si>
  <si>
    <t xml:space="preserve">%33</t>
  </si>
  <si>
    <t xml:space="preserve">Dadme Albriçias</t>
  </si>
  <si>
    <t xml:space="preserve">Giralomo Scotto</t>
  </si>
  <si>
    <t xml:space="preserve">Villancicos de diuersos autores</t>
  </si>
  <si>
    <t xml:space="preserve">bass, tenor, alto, soprano</t>
  </si>
  <si>
    <t xml:space="preserve">Pase el aqua, ma Julieta</t>
  </si>
  <si>
    <t xml:space="preserve">E-Mp:Royal Palace Library</t>
  </si>
  <si>
    <t xml:space="preserve">MS II-1335:Cancioneras musical de palacio</t>
  </si>
  <si>
    <t xml:space="preserve">Non mi negar, signora</t>
  </si>
  <si>
    <t xml:space="preserve">Serafino Aquilano</t>
  </si>
  <si>
    <t xml:space="preserve">%63</t>
  </si>
  <si>
    <t xml:space="preserve">Non mi naegar signora,</t>
  </si>
  <si>
    <t xml:space="preserve">Blow, blow, thou winter wind</t>
  </si>
  <si>
    <t xml:space="preserve">Thomas Arne</t>
  </si>
  <si>
    <t xml:space="preserve">As you like it II-7</t>
  </si>
  <si>
    <t xml:space="preserve">7-course, soprano 2:soprano, soprano 1:soprano</t>
  </si>
  <si>
    <t xml:space="preserve">soprano 1, 7-course</t>
  </si>
  <si>
    <t xml:space="preserve">When daisies pied</t>
  </si>
  <si>
    <t xml:space="preserve">Love's Labor's lost V-2</t>
  </si>
  <si>
    <t xml:space="preserve">Augellin vago e canoro</t>
  </si>
  <si>
    <t xml:space="preserve">1. Aria</t>
  </si>
  <si>
    <t xml:space="preserve">Alessandro Scarlatti</t>
  </si>
  <si>
    <t xml:space="preserve">D-MÜp:Diözesanbibliothek, Münster</t>
  </si>
  <si>
    <t xml:space="preserve">Santini Sammlung Hs. 3975</t>
  </si>
  <si>
    <t xml:space="preserve">f.35</t>
  </si>
  <si>
    <t xml:space="preserve">aria</t>
  </si>
  <si>
    <t xml:space="preserve">cello, soprano, flute 1:flute, flute 2:flute, archlute</t>
  </si>
  <si>
    <t xml:space="preserve">soprano, cello</t>
  </si>
  <si>
    <t xml:space="preserve">soprano, archlute</t>
  </si>
  <si>
    <t xml:space="preserve">2. Recit - Pur sensa mai</t>
  </si>
  <si>
    <t xml:space="preserve">cello, soprano, archlute</t>
  </si>
  <si>
    <t xml:space="preserve">cello, soprano</t>
  </si>
  <si>
    <t xml:space="preserve">3. Aira - Io t'intendo + Ritornello</t>
  </si>
  <si>
    <t xml:space="preserve">3. Aria - Io t'intendo + ritornello</t>
  </si>
  <si>
    <t xml:space="preserve">3. Aria - Io t'intendo + Ritornello</t>
  </si>
  <si>
    <t xml:space="preserve">3. Io t'intendo + Ritornello</t>
  </si>
  <si>
    <t xml:space="preserve">aria, ritornello</t>
  </si>
  <si>
    <t xml:space="preserve">4. Recit - Ma del tuo duol fatta</t>
  </si>
  <si>
    <t xml:space="preserve">recit</t>
  </si>
  <si>
    <t xml:space="preserve">archlute, soprano</t>
  </si>
  <si>
    <t xml:space="preserve">5. Aria - Quanto invidio</t>
  </si>
  <si>
    <t xml:space="preserve">6. Ritornello</t>
  </si>
  <si>
    <t xml:space="preserve">ritornello</t>
  </si>
  <si>
    <t xml:space="preserve">flute 1:flute, flute 2:flute, archlute</t>
  </si>
  <si>
    <t xml:space="preserve">Mi ha Divisio il Cor</t>
  </si>
  <si>
    <t xml:space="preserve">1. Adagio</t>
  </si>
  <si>
    <t xml:space="preserve">Add.Ms. 34056</t>
  </si>
  <si>
    <t xml:space="preserve">c.1705</t>
  </si>
  <si>
    <t xml:space="preserve">f.148</t>
  </si>
  <si>
    <t xml:space="preserve">Mi ha divisio il cor</t>
  </si>
  <si>
    <t xml:space="preserve">Cantata</t>
  </si>
  <si>
    <t xml:space="preserve">cello, archlute, tenor</t>
  </si>
  <si>
    <t xml:space="preserve">archlute, tenor</t>
  </si>
  <si>
    <t xml:space="preserve">2. Recit - Mi sparisti</t>
  </si>
  <si>
    <t xml:space="preserve">3. Aria - Pur dal mio petto</t>
  </si>
  <si>
    <t xml:space="preserve">3. Aria - pur dal mio petto</t>
  </si>
  <si>
    <t xml:space="preserve">4. Recit - È diviso</t>
  </si>
  <si>
    <t xml:space="preserve">Cantata, recit</t>
  </si>
  <si>
    <t xml:space="preserve">5. Adagio - Era poco</t>
  </si>
  <si>
    <t xml:space="preserve">Bm</t>
  </si>
  <si>
    <t xml:space="preserve">6. Recit - Ma non</t>
  </si>
  <si>
    <t xml:space="preserve">Sotto l'umbra d'un faggio</t>
  </si>
  <si>
    <t xml:space="preserve">1. Recit</t>
  </si>
  <si>
    <t xml:space="preserve">Add. MS 14210</t>
  </si>
  <si>
    <t xml:space="preserve">f.35v</t>
  </si>
  <si>
    <t xml:space="preserve">cello, archlute, bass</t>
  </si>
  <si>
    <t xml:space="preserve">archlute, bass</t>
  </si>
  <si>
    <t xml:space="preserve">Sotto l'ombra d'un faggio</t>
  </si>
  <si>
    <t xml:space="preserve">2. Aria - Fili mia</t>
  </si>
  <si>
    <t xml:space="preserve">bass, violin, archlute</t>
  </si>
  <si>
    <t xml:space="preserve">violin</t>
  </si>
  <si>
    <t xml:space="preserve">bass, archlute</t>
  </si>
  <si>
    <t xml:space="preserve">3. Recit - Che non fe</t>
  </si>
  <si>
    <t xml:space="preserve">bass, cello, archlute</t>
  </si>
  <si>
    <t xml:space="preserve">3. Recit - che non fe</t>
  </si>
  <si>
    <t xml:space="preserve">bass, cello</t>
  </si>
  <si>
    <t xml:space="preserve">4. Aria - Vieni, O Tirsi</t>
  </si>
  <si>
    <t xml:space="preserve">bass, cello, violin, archlute</t>
  </si>
  <si>
    <t xml:space="preserve">A Jig</t>
  </si>
  <si>
    <t xml:space="preserve">Robert Askue</t>
  </si>
  <si>
    <t xml:space="preserve">f.100</t>
  </si>
  <si>
    <t xml:space="preserve">Sweet was the song</t>
  </si>
  <si>
    <t xml:space="preserve">John Attey</t>
  </si>
  <si>
    <t xml:space="preserve">First book of ayres</t>
  </si>
  <si>
    <t xml:space="preserve">lute song, xmas</t>
  </si>
  <si>
    <t xml:space="preserve">Chi passa per sta strada</t>
  </si>
  <si>
    <t xml:space="preserve">Filippo Azzaiolo</t>
  </si>
  <si>
    <t xml:space="preserve">I-Bc:Museo internazionale e biblioteca della musica di Bologna</t>
  </si>
  <si>
    <t xml:space="preserve">Villotte napoletane a tre</t>
  </si>
  <si>
    <t xml:space="preserve">8-course, alto</t>
  </si>
  <si>
    <t xml:space="preserve">Jauchzet Gott in allen Landen</t>
  </si>
  <si>
    <t xml:space="preserve">J.S. Bach</t>
  </si>
  <si>
    <t xml:space="preserve">BWV 51:Cantatà 51</t>
  </si>
  <si>
    <t xml:space="preserve">Cantatà 51</t>
  </si>
  <si>
    <t xml:space="preserve">cantata</t>
  </si>
  <si>
    <t xml:space="preserve">10-course, cello, soprano, viola, violin 1:violin, violin 2:violin, violin 3:violin, archlute</t>
  </si>
  <si>
    <t xml:space="preserve">Gerechter Gott, ach, rechnest du?</t>
  </si>
  <si>
    <t xml:space="preserve">BWV 89:Cantata Was soll ich aus dir machen, Ephraim?</t>
  </si>
  <si>
    <t xml:space="preserve">Was soll ich aus dir machen</t>
  </si>
  <si>
    <t xml:space="preserve">Ich will auf den Herren schau'n</t>
  </si>
  <si>
    <t xml:space="preserve">BWV 93:Cantata Wer nur den lieben Gott laesst walten</t>
  </si>
  <si>
    <t xml:space="preserve">Wer nur den lieben Gott</t>
  </si>
  <si>
    <t xml:space="preserve">archlute, oboe, soprano</t>
  </si>
  <si>
    <t xml:space="preserve">Minuet in G major</t>
  </si>
  <si>
    <t xml:space="preserve">BWV Anh.114:Minuett in G major from the Anna Magdalena Bach Book</t>
  </si>
  <si>
    <t xml:space="preserve">#4</t>
  </si>
  <si>
    <t xml:space="preserve">minuet</t>
  </si>
  <si>
    <t xml:space="preserve">BWV Anh.115:Minuett in G major from the Anna Magdalena Bach Book</t>
  </si>
  <si>
    <t xml:space="preserve">#5</t>
  </si>
  <si>
    <t xml:space="preserve">March in D major</t>
  </si>
  <si>
    <t xml:space="preserve">BWV Anh.122:March in D major from the Anna Magdalena Bach Book</t>
  </si>
  <si>
    <t xml:space="preserve">#16</t>
  </si>
  <si>
    <t xml:space="preserve">Markus Lutz</t>
  </si>
  <si>
    <t xml:space="preserve">13-course baroque</t>
  </si>
  <si>
    <t xml:space="preserve">Die Seele ruht in Jesu Händen</t>
  </si>
  <si>
    <t xml:space="preserve">Two violin parts</t>
  </si>
  <si>
    <t xml:space="preserve">BWV 127:Cantata Herr Jesu Christ, wahr' Mensch und Gott</t>
  </si>
  <si>
    <t xml:space="preserve">Herr Jesu Christ, wahr' Mensch und Gott</t>
  </si>
  <si>
    <t xml:space="preserve">Wachet auf, ruft uns die Stimme</t>
  </si>
  <si>
    <t xml:space="preserve">BWV 140:Cantata Wachet auf, ruft uns die Stimme</t>
  </si>
  <si>
    <t xml:space="preserve">13-course baroque, soprano</t>
  </si>
  <si>
    <t xml:space="preserve">English Suite No. 3</t>
  </si>
  <si>
    <t xml:space="preserve">6. Gavotte 2 -- Musette</t>
  </si>
  <si>
    <t xml:space="preserve">BWV 808:English Suite #3</t>
  </si>
  <si>
    <t xml:space="preserve">#6</t>
  </si>
  <si>
    <t xml:space="preserve">English Suite</t>
  </si>
  <si>
    <t xml:space="preserve">6. Gavotte 2 (musette)</t>
  </si>
  <si>
    <t xml:space="preserve">gavotte</t>
  </si>
  <si>
    <t xml:space="preserve">Harpsichord suite in B flat major</t>
  </si>
  <si>
    <t xml:space="preserve">4. Sarabande</t>
  </si>
  <si>
    <t xml:space="preserve">BWV 821:Harpsichord suite in B flat major</t>
  </si>
  <si>
    <t xml:space="preserve">Harpsichord Suite in Bb Major</t>
  </si>
  <si>
    <t xml:space="preserve">sarabande</t>
  </si>
  <si>
    <t xml:space="preserve">Archlute</t>
  </si>
  <si>
    <t xml:space="preserve">Goldberg Variations</t>
  </si>
  <si>
    <t xml:space="preserve">BWV 988:Goldberg Variations</t>
  </si>
  <si>
    <t xml:space="preserve">Lute Suite in G minor</t>
  </si>
  <si>
    <t xml:space="preserve">1. Prelude</t>
  </si>
  <si>
    <t xml:space="preserve">BWV 995:Lute Suite in G minor</t>
  </si>
  <si>
    <t xml:space="preserve">Burkhard Korn</t>
  </si>
  <si>
    <t xml:space="preserve">Lute Suite in Gm</t>
  </si>
  <si>
    <t xml:space="preserve">prelude</t>
  </si>
  <si>
    <t xml:space="preserve">2. Allemande</t>
  </si>
  <si>
    <t xml:space="preserve">3. Courante</t>
  </si>
  <si>
    <t xml:space="preserve">5. Gavotte</t>
  </si>
  <si>
    <t xml:space="preserve">6. Gavotte</t>
  </si>
  <si>
    <t xml:space="preserve">7. Gigue</t>
  </si>
  <si>
    <t xml:space="preserve">gigue</t>
  </si>
  <si>
    <t xml:space="preserve">https://www.youtube.com/watch?v=sYSRR1WiUbU</t>
  </si>
  <si>
    <t xml:space="preserve">3. courante</t>
  </si>
  <si>
    <t xml:space="preserve">Lute Suite 1 in Em</t>
  </si>
  <si>
    <t xml:space="preserve">BWV 996:Lute Suite 1 in Em</t>
  </si>
  <si>
    <t xml:space="preserve">Lute Suite in E minor</t>
  </si>
  <si>
    <t xml:space="preserve">5. Bourée</t>
  </si>
  <si>
    <t xml:space="preserve">bourée</t>
  </si>
  <si>
    <t xml:space="preserve">6. Gigue</t>
  </si>
  <si>
    <t xml:space="preserve">Lute Suite in C minor</t>
  </si>
  <si>
    <t xml:space="preserve">BWV 997:Lute Suite No 2 in Cm</t>
  </si>
  <si>
    <t xml:space="preserve">Carlo Stringhi</t>
  </si>
  <si>
    <t xml:space="preserve">Lute Suite</t>
  </si>
  <si>
    <t xml:space="preserve">2. Fugue</t>
  </si>
  <si>
    <t xml:space="preserve">fugue</t>
  </si>
  <si>
    <t xml:space="preserve">3. Sarabande</t>
  </si>
  <si>
    <t xml:space="preserve">4. Gigue</t>
  </si>
  <si>
    <t xml:space="preserve">5. Double</t>
  </si>
  <si>
    <t xml:space="preserve">gigue, double</t>
  </si>
  <si>
    <t xml:space="preserve">Prelude, Fugue and Allegro in Eb major</t>
  </si>
  <si>
    <t xml:space="preserve">BWV 998:Prelude, Fugue and Allegro in E flat major</t>
  </si>
  <si>
    <t xml:space="preserve">Prelude, Fugue, and Allegro in EbM</t>
  </si>
  <si>
    <t xml:space="preserve">2. Fuga</t>
  </si>
  <si>
    <t xml:space="preserve">3. Allegro</t>
  </si>
  <si>
    <t xml:space="preserve">allegro</t>
  </si>
  <si>
    <t xml:space="preserve">Prelude in C minor</t>
  </si>
  <si>
    <t xml:space="preserve">BWV 999:Prelude in C minor for lute</t>
  </si>
  <si>
    <t xml:space="preserve">9-course</t>
  </si>
  <si>
    <t xml:space="preserve">Violin Suite in G minor</t>
  </si>
  <si>
    <t xml:space="preserve">1. Fugue</t>
  </si>
  <si>
    <t xml:space="preserve">BWV 1000:Violin Suite in G minor</t>
  </si>
  <si>
    <t xml:space="preserve">Violin Suite in Gm</t>
  </si>
  <si>
    <t xml:space="preserve">Lute Suite in E major</t>
  </si>
  <si>
    <t xml:space="preserve">BWV 1006a:Lute Suite in EM</t>
  </si>
  <si>
    <t xml:space="preserve">EM</t>
  </si>
  <si>
    <t xml:space="preserve">2. Loure</t>
  </si>
  <si>
    <t xml:space="preserve">loure</t>
  </si>
  <si>
    <t xml:space="preserve">3. Gavotte en rondeau</t>
  </si>
  <si>
    <t xml:space="preserve">Lute suite in EM</t>
  </si>
  <si>
    <t xml:space="preserve">3. Gavotte en Rondeau</t>
  </si>
  <si>
    <t xml:space="preserve">Gavotte</t>
  </si>
  <si>
    <t xml:space="preserve">5. Minuet</t>
  </si>
  <si>
    <t xml:space="preserve">6. Bouree</t>
  </si>
  <si>
    <t xml:space="preserve">6. Bourée</t>
  </si>
  <si>
    <t xml:space="preserve">Cello suite in G major</t>
  </si>
  <si>
    <t xml:space="preserve">BWV 1007:Cello suite in G major</t>
  </si>
  <si>
    <t xml:space="preserve">Rob MacKillop</t>
  </si>
  <si>
    <t xml:space="preserve">Cello Suite in G Major</t>
  </si>
  <si>
    <t xml:space="preserve">14-course theorbo</t>
  </si>
  <si>
    <t xml:space="preserve">Violin sonata in G major</t>
  </si>
  <si>
    <t xml:space="preserve">BWV 1021</t>
  </si>
  <si>
    <t xml:space="preserve">Violin Sonata in G Major</t>
  </si>
  <si>
    <t xml:space="preserve">Adagio</t>
  </si>
  <si>
    <t xml:space="preserve">cello, violin, archlute</t>
  </si>
  <si>
    <t xml:space="preserve">cello</t>
  </si>
  <si>
    <t xml:space="preserve">violin, cello</t>
  </si>
  <si>
    <t xml:space="preserve">violin, archlute</t>
  </si>
  <si>
    <t xml:space="preserve">2. Vivace</t>
  </si>
  <si>
    <t xml:space="preserve">vivace</t>
  </si>
  <si>
    <t xml:space="preserve">3. Largo</t>
  </si>
  <si>
    <t xml:space="preserve">largo</t>
  </si>
  <si>
    <t xml:space="preserve">4. Presto</t>
  </si>
  <si>
    <t xml:space="preserve">presto</t>
  </si>
  <si>
    <t xml:space="preserve">Violin Sonata in E minor</t>
  </si>
  <si>
    <t xml:space="preserve">BWV 1023</t>
  </si>
  <si>
    <t xml:space="preserve">Violin Sonata in E Minor</t>
  </si>
  <si>
    <t xml:space="preserve">2. Adagio ma non tanto</t>
  </si>
  <si>
    <t xml:space="preserve">adagio</t>
  </si>
  <si>
    <t xml:space="preserve">3. Allemande</t>
  </si>
  <si>
    <t xml:space="preserve">Orchestral Suite No. 3 in D major</t>
  </si>
  <si>
    <t xml:space="preserve">2. Air on a G String</t>
  </si>
  <si>
    <t xml:space="preserve">BWV 1068:Orchestral Suite No. 3 in D major.</t>
  </si>
  <si>
    <t xml:space="preserve">Orchestral Suite</t>
  </si>
  <si>
    <t xml:space="preserve">air</t>
  </si>
  <si>
    <t xml:space="preserve">Almain</t>
  </si>
  <si>
    <t xml:space="preserve">Daniel Bacheler</t>
  </si>
  <si>
    <t xml:space="preserve">ms 3-1956:Herbert of Cherburys lute book</t>
  </si>
  <si>
    <t xml:space="preserve">f.26</t>
  </si>
  <si>
    <t xml:space="preserve">Courante 1</t>
  </si>
  <si>
    <t xml:space="preserve">f.25v</t>
  </si>
  <si>
    <t xml:space="preserve">Courante 2</t>
  </si>
  <si>
    <t xml:space="preserve">f.28v</t>
  </si>
  <si>
    <t xml:space="preserve">coranto, courante</t>
  </si>
  <si>
    <t xml:space="preserve">En me revenant</t>
  </si>
  <si>
    <t xml:space="preserve">f.43v</t>
  </si>
  <si>
    <t xml:space="preserve">Round</t>
  </si>
  <si>
    <t xml:space="preserve">round, allemande</t>
  </si>
  <si>
    <t xml:space="preserve">Allemande - En me revenant</t>
  </si>
  <si>
    <t xml:space="preserve">p.25vc</t>
  </si>
  <si>
    <t xml:space="preserve">Allemande</t>
  </si>
  <si>
    <t xml:space="preserve">Fantasy 1</t>
  </si>
  <si>
    <t xml:space="preserve">f.56v</t>
  </si>
  <si>
    <t xml:space="preserve">f.21a</t>
  </si>
  <si>
    <t xml:space="preserve">Galliard 2</t>
  </si>
  <si>
    <t xml:space="preserve">f.52v</t>
  </si>
  <si>
    <t xml:space="preserve">Galliard 3</t>
  </si>
  <si>
    <t xml:space="preserve">Nn.6.36b</t>
  </si>
  <si>
    <t xml:space="preserve">f.38v</t>
  </si>
  <si>
    <t xml:space="preserve">Galliard to the pavane before</t>
  </si>
  <si>
    <t xml:space="preserve">f.82v</t>
  </si>
  <si>
    <t xml:space="preserve">La jeune fillette</t>
  </si>
  <si>
    <t xml:space="preserve">f.23v</t>
  </si>
  <si>
    <t xml:space="preserve">Monsieur's allemande</t>
  </si>
  <si>
    <t xml:space="preserve">Varietie of Lute Lessons</t>
  </si>
  <si>
    <t xml:space="preserve">f.o1</t>
  </si>
  <si>
    <t xml:space="preserve">Pavan 1</t>
  </si>
  <si>
    <t xml:space="preserve">f.80v</t>
  </si>
  <si>
    <t xml:space="preserve">Pavane 2</t>
  </si>
  <si>
    <t xml:space="preserve">Pavane 3</t>
  </si>
  <si>
    <t xml:space="preserve">f.20v</t>
  </si>
  <si>
    <t xml:space="preserve">Pavane 4</t>
  </si>
  <si>
    <t xml:space="preserve">f.40</t>
  </si>
  <si>
    <t xml:space="preserve">To plead my faith</t>
  </si>
  <si>
    <t xml:space="preserve">f.d2v</t>
  </si>
  <si>
    <t xml:space="preserve">Czarna krowa</t>
  </si>
  <si>
    <t xml:space="preserve">4-part Polish chanson</t>
  </si>
  <si>
    <t xml:space="preserve">Valentin Bakfark</t>
  </si>
  <si>
    <t xml:space="preserve">PL-Kj:Uniwersytet Jagiellonski</t>
  </si>
  <si>
    <t xml:space="preserve">mus.ms.40598</t>
  </si>
  <si>
    <t xml:space="preserve">f.123v</t>
  </si>
  <si>
    <t xml:space="preserve">Doulce memoire</t>
  </si>
  <si>
    <t xml:space="preserve">(Pierre Sandrin)</t>
  </si>
  <si>
    <t xml:space="preserve">Pierre Sandrin</t>
  </si>
  <si>
    <t xml:space="preserve">f.152v</t>
  </si>
  <si>
    <t xml:space="preserve">Fantasy 8</t>
  </si>
  <si>
    <t xml:space="preserve">Fantasy 9</t>
  </si>
  <si>
    <t xml:space="preserve">f.21v</t>
  </si>
  <si>
    <t xml:space="preserve">D-W:Herzog August Bibliothek, Wolfenbüttel</t>
  </si>
  <si>
    <t xml:space="preserve">MS. Codex Quelferbytanus 18.7-8:Philip Hainhofer Lute Book</t>
  </si>
  <si>
    <t xml:space="preserve">f.24v</t>
  </si>
  <si>
    <t xml:space="preserve">Je prens en gré</t>
  </si>
  <si>
    <t xml:space="preserve">à 4</t>
  </si>
  <si>
    <t xml:space="preserve">RUS-K:Museum of the Republic of Tatarstan</t>
  </si>
  <si>
    <t xml:space="preserve">MS Gen.2.150</t>
  </si>
  <si>
    <t xml:space="preserve">p.48</t>
  </si>
  <si>
    <t xml:space="preserve">Non dite mai</t>
  </si>
  <si>
    <t xml:space="preserve">UA-LV+G4962u:L'viv University Library</t>
  </si>
  <si>
    <t xml:space="preserve">MS 1400-1</t>
  </si>
  <si>
    <t xml:space="preserve">f.15</t>
  </si>
  <si>
    <t xml:space="preserve">Pace non trovo</t>
  </si>
  <si>
    <t xml:space="preserve">4-part madrigal</t>
  </si>
  <si>
    <t xml:space="preserve">f.149v</t>
  </si>
  <si>
    <t xml:space="preserve">madrigal, vocal intabulation</t>
  </si>
  <si>
    <t xml:space="preserve">Schöner deutscher dantz</t>
  </si>
  <si>
    <t xml:space="preserve">f.40v</t>
  </si>
  <si>
    <t xml:space="preserve">dance, allemande</t>
  </si>
  <si>
    <t xml:space="preserve">Stabat Mater</t>
  </si>
  <si>
    <t xml:space="preserve">f.150v</t>
  </si>
  <si>
    <t xml:space="preserve">religious, vocal intabulation</t>
  </si>
  <si>
    <t xml:space="preserve">Courante 4</t>
  </si>
  <si>
    <t xml:space="preserve">Robert Ballard</t>
  </si>
  <si>
    <t xml:space="preserve">Moresca 1 - Le Canarie</t>
  </si>
  <si>
    <t xml:space="preserve">Giulio Cesare Barbetta</t>
  </si>
  <si>
    <t xml:space="preserve">Dances de toutes les nations</t>
  </si>
  <si>
    <t xml:space="preserve">moresca, canarie</t>
  </si>
  <si>
    <t xml:space="preserve">Sonnetto primero grado</t>
  </si>
  <si>
    <t xml:space="preserve">Ernst Gottlieb Baron</t>
  </si>
  <si>
    <t xml:space="preserve">B-Br:Belgium Royal Library</t>
  </si>
  <si>
    <t xml:space="preserve">MS II-4087/1</t>
  </si>
  <si>
    <t xml:space="preserve">suite, sonnetto, prelude</t>
  </si>
  <si>
    <t xml:space="preserve">2. Gigue?</t>
  </si>
  <si>
    <t xml:space="preserve">2. Gigue</t>
  </si>
  <si>
    <t xml:space="preserve">suite, sonnetto, gigue</t>
  </si>
  <si>
    <t xml:space="preserve">3. Minuet?</t>
  </si>
  <si>
    <t xml:space="preserve">suite, sonnetto, minuet</t>
  </si>
  <si>
    <t xml:space="preserve">4. Allemande?</t>
  </si>
  <si>
    <t xml:space="preserve">4. Allemande</t>
  </si>
  <si>
    <t xml:space="preserve">suite, sonnetto, allemande</t>
  </si>
  <si>
    <t xml:space="preserve">5. Minuet?</t>
  </si>
  <si>
    <t xml:space="preserve">Suite in F major</t>
  </si>
  <si>
    <t xml:space="preserve">1. Allemande?</t>
  </si>
  <si>
    <t xml:space="preserve">Der getreue Music-Meister</t>
  </si>
  <si>
    <t xml:space="preserve">p.50</t>
  </si>
  <si>
    <t xml:space="preserve">suite, allemande</t>
  </si>
  <si>
    <t xml:space="preserve">2. Gavotte?</t>
  </si>
  <si>
    <t xml:space="preserve">2. Gavotte</t>
  </si>
  <si>
    <t xml:space="preserve">suite, gavotte</t>
  </si>
  <si>
    <t xml:space="preserve">4. Sarabande?</t>
  </si>
  <si>
    <t xml:space="preserve">suite, sarabande</t>
  </si>
  <si>
    <t xml:space="preserve">5. Allemande?</t>
  </si>
  <si>
    <t xml:space="preserve">6. Untitled</t>
  </si>
  <si>
    <t xml:space="preserve">7. Gavotte</t>
  </si>
  <si>
    <t xml:space="preserve">8. Gigue?</t>
  </si>
  <si>
    <t xml:space="preserve">suite, gigue</t>
  </si>
  <si>
    <t xml:space="preserve">If ever hapless woman</t>
  </si>
  <si>
    <t xml:space="preserve">Words by Mary Sidney Herbert, Countess of Pembroke</t>
  </si>
  <si>
    <t xml:space="preserve">John Bartlet</t>
  </si>
  <si>
    <t xml:space="preserve">A book of ayres</t>
  </si>
  <si>
    <t xml:space="preserve">#2</t>
  </si>
  <si>
    <t xml:space="preserve">bass, tenor, alto, soprano, 6-course</t>
  </si>
  <si>
    <t xml:space="preserve">Who doth behold my Mistress' face</t>
  </si>
  <si>
    <t xml:space="preserve">Of all the birds</t>
  </si>
  <si>
    <t xml:space="preserve">#10</t>
  </si>
  <si>
    <t xml:space="preserve">Whither runneth my sweetheart?</t>
  </si>
  <si>
    <t xml:space="preserve">The Hunters Carreere</t>
  </si>
  <si>
    <t xml:space="preserve">William Basse</t>
  </si>
  <si>
    <t xml:space="preserve">f.27va</t>
  </si>
  <si>
    <t xml:space="preserve">Katherine Ogie</t>
  </si>
  <si>
    <t xml:space="preserve">Mr. Beck</t>
  </si>
  <si>
    <t xml:space="preserve">Amarillis</t>
  </si>
  <si>
    <t xml:space="preserve">p.13</t>
  </si>
  <si>
    <t xml:space="preserve">10-course baroque</t>
  </si>
  <si>
    <t xml:space="preserve">Nathaniel Gordon - the new way</t>
  </si>
  <si>
    <t xml:space="preserve">p.22</t>
  </si>
  <si>
    <t xml:space="preserve">O s'io potessi donna</t>
  </si>
  <si>
    <t xml:space="preserve">Jacquet de Berchem</t>
  </si>
  <si>
    <t xml:space="preserve">#13</t>
  </si>
  <si>
    <t xml:space="preserve">1. Ricercar 1</t>
  </si>
  <si>
    <t xml:space="preserve">Dominico Bianchini</t>
  </si>
  <si>
    <t xml:space="preserve">Intabolatura de Lauto</t>
  </si>
  <si>
    <t xml:space="preserve">f.a2</t>
  </si>
  <si>
    <t xml:space="preserve">2. Ricercar 2</t>
  </si>
  <si>
    <t xml:space="preserve">f.a2v</t>
  </si>
  <si>
    <t xml:space="preserve">3. Ricercar 3</t>
  </si>
  <si>
    <t xml:space="preserve">f.a4</t>
  </si>
  <si>
    <t xml:space="preserve">4. Duo</t>
  </si>
  <si>
    <t xml:space="preserve">f.a3v</t>
  </si>
  <si>
    <t xml:space="preserve">5. Con lei fuss'io</t>
  </si>
  <si>
    <t xml:space="preserve">f.b1</t>
  </si>
  <si>
    <t xml:space="preserve">Aupres de vous</t>
  </si>
  <si>
    <t xml:space="preserve">f.b1v</t>
  </si>
  <si>
    <t xml:space="preserve">Madonna, io non lo so</t>
  </si>
  <si>
    <t xml:space="preserve">f.b2v</t>
  </si>
  <si>
    <t xml:space="preserve">8. Passamezzo</t>
  </si>
  <si>
    <t xml:space="preserve">f.b3</t>
  </si>
  <si>
    <t xml:space="preserve">passamezzo</t>
  </si>
  <si>
    <t xml:space="preserve">9. Padoana la sua</t>
  </si>
  <si>
    <t xml:space="preserve">f.b3va</t>
  </si>
  <si>
    <t xml:space="preserve">9. Pavane</t>
  </si>
  <si>
    <t xml:space="preserve">10. Il suo saltarello</t>
  </si>
  <si>
    <t xml:space="preserve">f.b3vb</t>
  </si>
  <si>
    <t xml:space="preserve">11. Le forze d'Erculle</t>
  </si>
  <si>
    <t xml:space="preserve">f.b4</t>
  </si>
  <si>
    <t xml:space="preserve">11. Le forze d'Ercole</t>
  </si>
  <si>
    <t xml:space="preserve">12. Lodesana</t>
  </si>
  <si>
    <t xml:space="preserve">f.b4v</t>
  </si>
  <si>
    <t xml:space="preserve">12. La Lodesana</t>
  </si>
  <si>
    <t xml:space="preserve">13. Meza notte</t>
  </si>
  <si>
    <t xml:space="preserve">f.c1</t>
  </si>
  <si>
    <t xml:space="preserve">14. La Cara Cossa</t>
  </si>
  <si>
    <t xml:space="preserve">f.c1v</t>
  </si>
  <si>
    <t xml:space="preserve">15. El burato</t>
  </si>
  <si>
    <t xml:space="preserve">f.c2</t>
  </si>
  <si>
    <t xml:space="preserve">16. Ave santissima</t>
  </si>
  <si>
    <t xml:space="preserve">vocal intabulation, religious</t>
  </si>
  <si>
    <t xml:space="preserve">17. Santo Erculano</t>
  </si>
  <si>
    <t xml:space="preserve">f.d1</t>
  </si>
  <si>
    <t xml:space="preserve">18. C'est grand pitié</t>
  </si>
  <si>
    <t xml:space="preserve">AbM</t>
  </si>
  <si>
    <t xml:space="preserve">19. Ricercar 4</t>
  </si>
  <si>
    <t xml:space="preserve">f.d2</t>
  </si>
  <si>
    <t xml:space="preserve">20. Il me suffit</t>
  </si>
  <si>
    <t xml:space="preserve">21. Par ton regard</t>
  </si>
  <si>
    <t xml:space="preserve">f.d3</t>
  </si>
  <si>
    <t xml:space="preserve">22. Le dur travail</t>
  </si>
  <si>
    <t xml:space="preserve">f.d3v</t>
  </si>
  <si>
    <t xml:space="preserve">23. Ricercar 5</t>
  </si>
  <si>
    <t xml:space="preserve">f.d4v</t>
  </si>
  <si>
    <t xml:space="preserve">24. Saltarello</t>
  </si>
  <si>
    <t xml:space="preserve">Torza</t>
  </si>
  <si>
    <t xml:space="preserve">f.e1</t>
  </si>
  <si>
    <t xml:space="preserve">25. O s'io potessi, Donna</t>
  </si>
  <si>
    <t xml:space="preserve">f.e1v</t>
  </si>
  <si>
    <t xml:space="preserve">Tant que vivrai</t>
  </si>
  <si>
    <t xml:space="preserve">f.e2v</t>
  </si>
  <si>
    <t xml:space="preserve">27. Pongente dardo</t>
  </si>
  <si>
    <t xml:space="preserve">f.e3v</t>
  </si>
  <si>
    <t xml:space="preserve">Jamais tant</t>
  </si>
  <si>
    <t xml:space="preserve">Gilles Binchois</t>
  </si>
  <si>
    <t xml:space="preserve">f.x</t>
  </si>
  <si>
    <t xml:space="preserve">Les tres doulx jeux</t>
  </si>
  <si>
    <t xml:space="preserve">f.z</t>
  </si>
  <si>
    <t xml:space="preserve">Adieu ma tres belle maistresse</t>
  </si>
  <si>
    <t xml:space="preserve">I-TRbc:Castello del Buonconsiglio, Biblioteca</t>
  </si>
  <si>
    <t xml:space="preserve">MS 1379 [92] no.1469</t>
  </si>
  <si>
    <t xml:space="preserve">f.112</t>
  </si>
  <si>
    <t xml:space="preserve">Comme femme desconfortée</t>
  </si>
  <si>
    <t xml:space="preserve">MS 91:Mellon Chansonnier</t>
  </si>
  <si>
    <t xml:space="preserve">5-course, tenor</t>
  </si>
  <si>
    <t xml:space="preserve">Ma dame que j'ayme</t>
  </si>
  <si>
    <t xml:space="preserve">Mus.ms.3192</t>
  </si>
  <si>
    <t xml:space="preserve">5-course, alto</t>
  </si>
  <si>
    <t xml:space="preserve">Pour prison</t>
  </si>
  <si>
    <t xml:space="preserve">E-E:Biblioteca del Monasterio, El Escorial</t>
  </si>
  <si>
    <t xml:space="preserve">MS IV, Escorial B</t>
  </si>
  <si>
    <t xml:space="preserve">Seule, esgarée</t>
  </si>
  <si>
    <t xml:space="preserve">No more the dear lovely nymph</t>
  </si>
  <si>
    <t xml:space="preserve">Words by Peter Anthony Motteux</t>
  </si>
  <si>
    <t xml:space="preserve">John Blow</t>
  </si>
  <si>
    <t xml:space="preserve">bass viol, archlute, soprano</t>
  </si>
  <si>
    <t xml:space="preserve">bass viol, soprano</t>
  </si>
  <si>
    <t xml:space="preserve">O turn not those fine eyes away</t>
  </si>
  <si>
    <t xml:space="preserve">f.dd2v</t>
  </si>
  <si>
    <t xml:space="preserve">Charles Bocquet</t>
  </si>
  <si>
    <t xml:space="preserve">Jean-Baptiste Bésard</t>
  </si>
  <si>
    <t xml:space="preserve">Thesaurus Harmonicus</t>
  </si>
  <si>
    <t xml:space="preserve">Praeludium</t>
  </si>
  <si>
    <t xml:space="preserve">Divine Amarillis</t>
  </si>
  <si>
    <t xml:space="preserve">Antoine Boësset</t>
  </si>
  <si>
    <t xml:space="preserve">Airs de Cours avec tabulature de leut</t>
  </si>
  <si>
    <t xml:space="preserve">f.17v</t>
  </si>
  <si>
    <t xml:space="preserve">7-course, alto</t>
  </si>
  <si>
    <t xml:space="preserve">Objet dont les charmes si doux</t>
  </si>
  <si>
    <t xml:space="preserve">Airs de Cours avec le tabulature de leut</t>
  </si>
  <si>
    <t xml:space="preserve">f.14v</t>
  </si>
  <si>
    <t xml:space="preserve">10-course, soprano</t>
  </si>
  <si>
    <t xml:space="preserve">Quelle pointe de jalousie</t>
  </si>
  <si>
    <t xml:space="preserve">Ballade du Roi</t>
  </si>
  <si>
    <t xml:space="preserve">f.f3</t>
  </si>
  <si>
    <t xml:space="preserve">A lute, soprano</t>
  </si>
  <si>
    <t xml:space="preserve">A lute</t>
  </si>
  <si>
    <t xml:space="preserve">f.c3</t>
  </si>
  <si>
    <t xml:space="preserve">6-course, soprano</t>
  </si>
  <si>
    <t xml:space="preserve">O Death, rock me asleep</t>
  </si>
  <si>
    <t xml:space="preserve">Ann Boleyn?</t>
  </si>
  <si>
    <t xml:space="preserve">Add. MS 17492</t>
  </si>
  <si>
    <t xml:space="preserve">A l'aventure</t>
  </si>
  <si>
    <t xml:space="preserve">Pietro Paulo Borrono</t>
  </si>
  <si>
    <t xml:space="preserve">Intavolatura di Lauto</t>
  </si>
  <si>
    <t xml:space="preserve">f.h3</t>
  </si>
  <si>
    <t xml:space="preserve">Bon jour mamye</t>
  </si>
  <si>
    <t xml:space="preserve">Intabulatura di lauto</t>
  </si>
  <si>
    <t xml:space="preserve">f.i1</t>
  </si>
  <si>
    <t xml:space="preserve">Fantasy 13</t>
  </si>
  <si>
    <t xml:space="preserve">f.g4v</t>
  </si>
  <si>
    <t xml:space="preserve">J'ai mis mon coeur</t>
  </si>
  <si>
    <t xml:space="preserve">Hierusalem luge</t>
  </si>
  <si>
    <t xml:space="preserve">(à 5 - Jean Richafort</t>
  </si>
  <si>
    <t xml:space="preserve">Des chansons et motetz</t>
  </si>
  <si>
    <t xml:space="preserve">f.ff2v</t>
  </si>
  <si>
    <t xml:space="preserve">La Lacrimosa</t>
  </si>
  <si>
    <t xml:space="preserve">La bella Bianca Margarita</t>
  </si>
  <si>
    <t xml:space="preserve">f.c4</t>
  </si>
  <si>
    <t xml:space="preserve">La Lucretia</t>
  </si>
  <si>
    <t xml:space="preserve">Mala se nea</t>
  </si>
  <si>
    <t xml:space="preserve">f.h4</t>
  </si>
  <si>
    <t xml:space="preserve">Noe noe noe puer nobis nascitur</t>
  </si>
  <si>
    <t xml:space="preserve">(à 4 - Jean Mouton)</t>
  </si>
  <si>
    <t xml:space="preserve">Jean Mouton</t>
  </si>
  <si>
    <t xml:space="preserve">f.i3v</t>
  </si>
  <si>
    <t xml:space="preserve">La Milanesa</t>
  </si>
  <si>
    <t xml:space="preserve">Intabolatura de leuto de diversi autore</t>
  </si>
  <si>
    <t xml:space="preserve">f.9</t>
  </si>
  <si>
    <t xml:space="preserve">Monte su che son de vella</t>
  </si>
  <si>
    <t xml:space="preserve">f.18</t>
  </si>
  <si>
    <t xml:space="preserve">La bella Andronica</t>
  </si>
  <si>
    <t xml:space="preserve">Saltarello 2</t>
  </si>
  <si>
    <t xml:space="preserve">Ave Maria zart</t>
  </si>
  <si>
    <t xml:space="preserve">Johann Georg Braun</t>
  </si>
  <si>
    <t xml:space="preserve">%40</t>
  </si>
  <si>
    <t xml:space="preserve">10-course, alto</t>
  </si>
  <si>
    <t xml:space="preserve">11-course baroque, alto</t>
  </si>
  <si>
    <t xml:space="preserve">Brewster</t>
  </si>
  <si>
    <t xml:space="preserve">GB-NO:Nottingham University Library</t>
  </si>
  <si>
    <t xml:space="preserve">Mi Lm 16 Willoughby lute book</t>
  </si>
  <si>
    <t xml:space="preserve">f.10v</t>
  </si>
  <si>
    <t xml:space="preserve">68. Pavane</t>
  </si>
  <si>
    <t xml:space="preserve">Baruch Bulman</t>
  </si>
  <si>
    <t xml:space="preserve">GB-Ge:Glasgow University Library</t>
  </si>
  <si>
    <t xml:space="preserve">ms r.d.43:Euing lute book</t>
  </si>
  <si>
    <t xml:space="preserve">c.1610</t>
  </si>
  <si>
    <t xml:space="preserve">f.47v</t>
  </si>
  <si>
    <t xml:space="preserve">A Pavan</t>
  </si>
  <si>
    <t xml:space="preserve">Fortuna desperata</t>
  </si>
  <si>
    <t xml:space="preserve">Antoine Busnois</t>
  </si>
  <si>
    <t xml:space="preserve">6-course, alto</t>
  </si>
  <si>
    <t xml:space="preserve">Ich bin eine Blume zu Saron</t>
  </si>
  <si>
    <t xml:space="preserve">Dietrich Buxtehude</t>
  </si>
  <si>
    <t xml:space="preserve">BuxWV 45</t>
  </si>
  <si>
    <t xml:space="preserve">AM</t>
  </si>
  <si>
    <t xml:space="preserve">bass, violin 1:violin, violin 2:violin, violone, archlute</t>
  </si>
  <si>
    <t xml:space="preserve">Mein Herz ist bereit</t>
  </si>
  <si>
    <t xml:space="preserve">BuxWV 73</t>
  </si>
  <si>
    <t xml:space="preserve">bass, violin, cello, archlute</t>
  </si>
  <si>
    <t xml:space="preserve">Earl of Salisbury Galliard</t>
  </si>
  <si>
    <t xml:space="preserve">Parthenia, or the Maydenhead</t>
  </si>
  <si>
    <t xml:space="preserve">#7</t>
  </si>
  <si>
    <t xml:space="preserve">GB-Cfm:Fitzwilliam Museum:Fitzwilliam Virginal Book</t>
  </si>
  <si>
    <t xml:space="preserve">#66</t>
  </si>
  <si>
    <t xml:space="preserve">Pavane Bray</t>
  </si>
  <si>
    <t xml:space="preserve">Francis Cutting</t>
  </si>
  <si>
    <t xml:space="preserve">Christe Redemptor à 4</t>
  </si>
  <si>
    <t xml:space="preserve">Add. MS 29246</t>
  </si>
  <si>
    <t xml:space="preserve">Fantasy à 4</t>
  </si>
  <si>
    <t xml:space="preserve">Psalmes, Songs &amp; Sonnets</t>
  </si>
  <si>
    <t xml:space="preserve">#15</t>
  </si>
  <si>
    <t xml:space="preserve">treble viol, 8-course</t>
  </si>
  <si>
    <t xml:space="preserve">viol, 8-course</t>
  </si>
  <si>
    <t xml:space="preserve">Miserere à 4</t>
  </si>
  <si>
    <t xml:space="preserve">Cantiones sacrae</t>
  </si>
  <si>
    <t xml:space="preserve">Tiento 1</t>
  </si>
  <si>
    <t xml:space="preserve">Mode 1</t>
  </si>
  <si>
    <t xml:space="preserve">Antonio de Cabezón</t>
  </si>
  <si>
    <t xml:space="preserve">Obras de Musica para ... vihuela</t>
  </si>
  <si>
    <t xml:space="preserve">Jim Stimson</t>
  </si>
  <si>
    <t xml:space="preserve">tiento, fantasy</t>
  </si>
  <si>
    <t xml:space="preserve">Alme luce beate</t>
  </si>
  <si>
    <t xml:space="preserve">Giulio Caccini</t>
  </si>
  <si>
    <t xml:space="preserve">Nuove Musiche</t>
  </si>
  <si>
    <t xml:space="preserve">archlute, alto</t>
  </si>
  <si>
    <t xml:space="preserve">Amarilli, mia bella</t>
  </si>
  <si>
    <t xml:space="preserve">f.l1v</t>
  </si>
  <si>
    <t xml:space="preserve">8-course, bass viol, alto</t>
  </si>
  <si>
    <t xml:space="preserve">Amor ch'attendi</t>
  </si>
  <si>
    <t xml:space="preserve">#29</t>
  </si>
  <si>
    <t xml:space="preserve">8-course, soprano</t>
  </si>
  <si>
    <t xml:space="preserve">Aur'amorosa</t>
  </si>
  <si>
    <t xml:space="preserve">#33</t>
  </si>
  <si>
    <t xml:space="preserve">Non ha'l ciel cotanti lumi</t>
  </si>
  <si>
    <t xml:space="preserve">I-Fn:Central National Library of Florence</t>
  </si>
  <si>
    <t xml:space="preserve">Magl. IX, 66</t>
  </si>
  <si>
    <t xml:space="preserve">#28</t>
  </si>
  <si>
    <t xml:space="preserve">Pien d'amoroso affetto</t>
  </si>
  <si>
    <t xml:space="preserve">#11</t>
  </si>
  <si>
    <t xml:space="preserve">alto</t>
  </si>
  <si>
    <t xml:space="preserve">Come raggio del sol</t>
  </si>
  <si>
    <t xml:space="preserve">Antonio Caldara</t>
  </si>
  <si>
    <t xml:space="preserve">Author of light</t>
  </si>
  <si>
    <t xml:space="preserve">Thomas Campion</t>
  </si>
  <si>
    <t xml:space="preserve">#1</t>
  </si>
  <si>
    <t xml:space="preserve">lute song, religious</t>
  </si>
  <si>
    <t xml:space="preserve">6-course, bass, tenor, alto, soprano</t>
  </si>
  <si>
    <t xml:space="preserve">bass, soprano</t>
  </si>
  <si>
    <t xml:space="preserve">The man of life upright</t>
  </si>
  <si>
    <t xml:space="preserve">Where are all thy beauties now?</t>
  </si>
  <si>
    <t xml:space="preserve">#3</t>
  </si>
  <si>
    <t xml:space="preserve">Out of my soul's depth</t>
  </si>
  <si>
    <t xml:space="preserve">View me, Lord, a work of thine</t>
  </si>
  <si>
    <t xml:space="preserve">Bravely decked, come forth, bright day</t>
  </si>
  <si>
    <t xml:space="preserve">Bravely decked, come forth</t>
  </si>
  <si>
    <t xml:space="preserve">To music bent is my retired mind</t>
  </si>
  <si>
    <t xml:space="preserve">Tune thy music to thy heart</t>
  </si>
  <si>
    <t xml:space="preserve">#8</t>
  </si>
  <si>
    <t xml:space="preserve">Most sweet and pleasing</t>
  </si>
  <si>
    <t xml:space="preserve">Wise men patience never want</t>
  </si>
  <si>
    <t xml:space="preserve">Never weather-beaten sail</t>
  </si>
  <si>
    <t xml:space="preserve">soprano</t>
  </si>
  <si>
    <t xml:space="preserve">Lift up to heaven, sad wretch</t>
  </si>
  <si>
    <t xml:space="preserve">Lo, when back mine eye</t>
  </si>
  <si>
    <t xml:space="preserve">7-course, bass, tenor, alto, soprano</t>
  </si>
  <si>
    <t xml:space="preserve">As by the streams of Babylon</t>
  </si>
  <si>
    <t xml:space="preserve">#14</t>
  </si>
  <si>
    <t xml:space="preserve">Sing a song of joy</t>
  </si>
  <si>
    <t xml:space="preserve">Awake, thou heavy spright</t>
  </si>
  <si>
    <t xml:space="preserve">Come, cheerful day</t>
  </si>
  <si>
    <t xml:space="preserve">6-course, bass, alto, soprano</t>
  </si>
  <si>
    <t xml:space="preserve">bass, alto, soprano</t>
  </si>
  <si>
    <t xml:space="preserve">Seek the Lord</t>
  </si>
  <si>
    <t xml:space="preserve">#18</t>
  </si>
  <si>
    <t xml:space="preserve">Lighten heavy heart thy spright</t>
  </si>
  <si>
    <t xml:space="preserve">#19</t>
  </si>
  <si>
    <t xml:space="preserve">Jack and Joan</t>
  </si>
  <si>
    <t xml:space="preserve">#20</t>
  </si>
  <si>
    <t xml:space="preserve">All looks be pale</t>
  </si>
  <si>
    <t xml:space="preserve">#21</t>
  </si>
  <si>
    <t xml:space="preserve">Vain men whose follies</t>
  </si>
  <si>
    <t xml:space="preserve">Second book of ayres</t>
  </si>
  <si>
    <t xml:space="preserve">How eas'ly wert thou chained</t>
  </si>
  <si>
    <t xml:space="preserve">6-course, bass, tenor, soprano</t>
  </si>
  <si>
    <t xml:space="preserve">bass, tenor, soprano</t>
  </si>
  <si>
    <t xml:space="preserve">Harden now thy tired heart</t>
  </si>
  <si>
    <t xml:space="preserve">O what unhoped for sweet supply</t>
  </si>
  <si>
    <t xml:space="preserve">Where she her sacred bow'r</t>
  </si>
  <si>
    <t xml:space="preserve">Fain would I my love disclose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</si>
</sst>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719"/>
  <sheetViews>
    <sheetView showFormulas="false" showGridLines="true" showRowColHeaders="true" showZeros="true" rightToLeft="false" tabSelected="true" showOutlineSymbols="true" defaultGridColor="true" view="normal" topLeftCell="Z1" colorId="64" zoomScale="100" zoomScaleNormal="100" zoomScalePageLayoutView="100" workbookViewId="0">
      <selection pane="topLeft" activeCell="B14" activeCellId="0" sqref="B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2.96"/>
    <col collapsed="false" customWidth="true" hidden="false" outlineLevel="0" max="2" min="2" style="0" width="45.89"/>
    <col collapsed="false" customWidth="true" hidden="false" outlineLevel="0" max="3" min="3" style="0" width="22.82"/>
    <col collapsed="false" customWidth="true" hidden="false" outlineLevel="0" max="4" min="4" style="0" width="13.93"/>
    <col collapsed="false" customWidth="true" hidden="false" outlineLevel="0" max="5" min="5" style="0" width="52.01"/>
    <col collapsed="false" customWidth="true" hidden="false" outlineLevel="0" max="6" min="6" style="0" width="58.68"/>
    <col collapsed="false" customWidth="true" hidden="false" outlineLevel="0" max="7" min="7" style="0" width="7.54"/>
    <col collapsed="false" customWidth="true" hidden="false" outlineLevel="0" max="8" min="8" style="0" width="6.98"/>
    <col collapsed="false" customWidth="true" hidden="false" outlineLevel="0" max="9" min="9" style="0" width="9.07"/>
    <col collapsed="false" customWidth="true" hidden="false" outlineLevel="0" max="10" min="10" style="0" width="15.33"/>
    <col collapsed="false" customWidth="true" hidden="false" outlineLevel="0" max="11" min="11" style="0" width="31.3"/>
    <col collapsed="false" customWidth="true" hidden="false" outlineLevel="0" max="12" min="12" style="0" width="33.24"/>
    <col collapsed="false" customWidth="true" hidden="false" outlineLevel="0" max="13" min="13" style="0" width="17.96"/>
    <col collapsed="false" customWidth="true" hidden="false" outlineLevel="0" max="14" min="14" style="0" width="10.32"/>
    <col collapsed="false" customWidth="true" hidden="false" outlineLevel="0" max="15" min="15" style="0" width="17.96"/>
    <col collapsed="false" customWidth="true" hidden="false" outlineLevel="0" max="16" min="16" style="0" width="34.21"/>
    <col collapsed="false" customWidth="true" hidden="false" outlineLevel="0" max="17" min="17" style="0" width="26.16"/>
    <col collapsed="false" customWidth="true" hidden="false" outlineLevel="0" max="18" min="18" style="0" width="24.49"/>
    <col collapsed="false" customWidth="true" hidden="false" outlineLevel="0" max="19" min="19" style="0" width="4.76"/>
    <col collapsed="false" customWidth="true" hidden="false" outlineLevel="0" max="20" min="20" style="0" width="8.52"/>
    <col collapsed="false" customWidth="true" hidden="false" outlineLevel="0" max="21" min="21" style="0" width="68.82"/>
    <col collapsed="false" customWidth="true" hidden="false" outlineLevel="0" max="22" min="22" style="0" width="24.35"/>
    <col collapsed="false" customWidth="true" hidden="false" outlineLevel="0" max="23" min="23" style="0" width="8.79"/>
    <col collapsed="false" customWidth="true" hidden="false" outlineLevel="0" max="24" min="24" style="0" width="42.84"/>
    <col collapsed="false" customWidth="true" hidden="false" outlineLevel="0" max="25" min="25" style="0" width="100.22"/>
    <col collapsed="false" customWidth="true" hidden="false" outlineLevel="0" max="26" min="26" style="0" width="120.09"/>
    <col collapsed="false" customWidth="true" hidden="false" outlineLevel="0" max="27" min="27" style="0" width="123.56"/>
    <col collapsed="false" customWidth="true" hidden="false" outlineLevel="0" max="28" min="28" style="0" width="124.81"/>
    <col collapsed="false" customWidth="true" hidden="false" outlineLevel="0" max="30" min="29" style="0" width="11.3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</row>
    <row r="2" customFormat="false" ht="12.8" hidden="false" customHeight="false" outlineLevel="0" collapsed="false">
      <c r="A2" s="0" t="s">
        <v>30</v>
      </c>
      <c r="B2" s="0" t="s">
        <v>31</v>
      </c>
      <c r="C2" s="0" t="s">
        <v>32</v>
      </c>
      <c r="E2" s="0" t="s">
        <v>33</v>
      </c>
      <c r="F2" s="0" t="s">
        <v>34</v>
      </c>
      <c r="H2" s="0" t="n">
        <v>1770</v>
      </c>
      <c r="I2" s="0" t="s">
        <v>35</v>
      </c>
      <c r="J2" s="0" t="s">
        <v>36</v>
      </c>
      <c r="K2" s="0" t="s">
        <v>36</v>
      </c>
      <c r="P2" s="0" t="s">
        <v>30</v>
      </c>
      <c r="Q2" s="0" t="s">
        <v>31</v>
      </c>
      <c r="R2" s="0" t="s">
        <v>37</v>
      </c>
      <c r="S2" s="0" t="s">
        <v>38</v>
      </c>
      <c r="T2" s="0" t="n">
        <v>3</v>
      </c>
      <c r="U2" s="0" t="s">
        <v>39</v>
      </c>
      <c r="V2" s="0" t="s">
        <v>40</v>
      </c>
      <c r="Z2" s="0" t="str">
        <f aca="false">HYPERLINK("http://lutemusic.org/composers/Abel/sonata_CM_01_moderato.ft3")</f>
        <v>http://lutemusic.org/composers/Abel/sonata_CM_01_moderato.ft3</v>
      </c>
      <c r="AA2" s="0" t="str">
        <f aca="false">HYPERLINK("http://lutemusic.org/composers/Abel/pdf/sonata_CM_01_moderato.pdf")</f>
        <v>http://lutemusic.org/composers/Abel/pdf/sonata_CM_01_moderato.pdf</v>
      </c>
      <c r="AB2" s="0" t="str">
        <f aca="false">HYPERLINK("http://lutemusic.org/composers/Abel/midi/sonata_CM_01_moderato.mid")</f>
        <v>http://lutemusic.org/composers/Abel/midi/sonata_CM_01_moderato.mid</v>
      </c>
      <c r="AC2" s="0" t="n">
        <v>1573937405</v>
      </c>
      <c r="AD2" s="0" t="n">
        <v>1586042060</v>
      </c>
    </row>
    <row r="3" customFormat="false" ht="12.8" hidden="false" customHeight="false" outlineLevel="0" collapsed="false">
      <c r="A3" s="0" t="s">
        <v>30</v>
      </c>
      <c r="B3" s="0" t="s">
        <v>31</v>
      </c>
      <c r="C3" s="0" t="s">
        <v>32</v>
      </c>
      <c r="E3" s="0" t="s">
        <v>33</v>
      </c>
      <c r="F3" s="0" t="s">
        <v>34</v>
      </c>
      <c r="H3" s="0" t="n">
        <v>1770</v>
      </c>
      <c r="I3" s="0" t="s">
        <v>35</v>
      </c>
      <c r="J3" s="0" t="s">
        <v>36</v>
      </c>
      <c r="K3" s="0" t="s">
        <v>36</v>
      </c>
      <c r="P3" s="0" t="s">
        <v>30</v>
      </c>
      <c r="Q3" s="0" t="s">
        <v>31</v>
      </c>
      <c r="R3" s="0" t="s">
        <v>37</v>
      </c>
      <c r="S3" s="0" t="s">
        <v>38</v>
      </c>
      <c r="T3" s="0" t="n">
        <v>3</v>
      </c>
      <c r="U3" s="0" t="s">
        <v>39</v>
      </c>
      <c r="V3" s="0" t="s">
        <v>41</v>
      </c>
      <c r="Z3" s="0" t="str">
        <f aca="false">HYPERLINK("http://lutemusic.org/composers/Abel/sonata_CM_01_moderato_T.ft3")</f>
        <v>http://lutemusic.org/composers/Abel/sonata_CM_01_moderato_T.ft3</v>
      </c>
      <c r="AA3" s="0" t="str">
        <f aca="false">HYPERLINK("http://lutemusic.org/composers/Abel/pdf/sonata_CM_01_moderato_T.pdf")</f>
        <v>http://lutemusic.org/composers/Abel/pdf/sonata_CM_01_moderato_T.pdf</v>
      </c>
      <c r="AB3" s="0" t="str">
        <f aca="false">HYPERLINK("http://lutemusic.org/composers/Abel/midi/sonata_CM_01_moderato_T.mid")</f>
        <v>http://lutemusic.org/composers/Abel/midi/sonata_CM_01_moderato_T.mid</v>
      </c>
      <c r="AC3" s="0" t="n">
        <v>1573937405</v>
      </c>
      <c r="AD3" s="0" t="n">
        <v>1586042060</v>
      </c>
    </row>
    <row r="4" customFormat="false" ht="12.8" hidden="false" customHeight="false" outlineLevel="0" collapsed="false">
      <c r="A4" s="0" t="s">
        <v>30</v>
      </c>
      <c r="B4" s="0" t="s">
        <v>42</v>
      </c>
      <c r="C4" s="0" t="s">
        <v>32</v>
      </c>
      <c r="E4" s="0" t="s">
        <v>33</v>
      </c>
      <c r="F4" s="0" t="s">
        <v>34</v>
      </c>
      <c r="H4" s="0" t="n">
        <v>1770</v>
      </c>
      <c r="I4" s="0" t="s">
        <v>35</v>
      </c>
      <c r="J4" s="0" t="s">
        <v>36</v>
      </c>
      <c r="K4" s="0" t="s">
        <v>36</v>
      </c>
      <c r="P4" s="0" t="s">
        <v>30</v>
      </c>
      <c r="Q4" s="0" t="s">
        <v>43</v>
      </c>
      <c r="R4" s="0" t="s">
        <v>44</v>
      </c>
      <c r="S4" s="0" t="s">
        <v>38</v>
      </c>
      <c r="T4" s="0" t="n">
        <v>3</v>
      </c>
      <c r="U4" s="0" t="s">
        <v>39</v>
      </c>
      <c r="V4" s="0" t="s">
        <v>40</v>
      </c>
      <c r="Z4" s="0" t="str">
        <f aca="false">HYPERLINK("http://lutemusic.org/composers/Abel/sonata_CM_02_minuetto.ft3")</f>
        <v>http://lutemusic.org/composers/Abel/sonata_CM_02_minuetto.ft3</v>
      </c>
      <c r="AA4" s="0" t="str">
        <f aca="false">HYPERLINK("http://lutemusic.org/composers/Abel/pdf/sonata_CM_02_minuetto.pdf")</f>
        <v>http://lutemusic.org/composers/Abel/pdf/sonata_CM_02_minuetto.pdf</v>
      </c>
      <c r="AB4" s="0" t="str">
        <f aca="false">HYPERLINK("http://lutemusic.org/composers/Abel/midi/sonata_CM_02_minuetto.mid")</f>
        <v>http://lutemusic.org/composers/Abel/midi/sonata_CM_02_minuetto.mid</v>
      </c>
      <c r="AC4" s="0" t="n">
        <v>1573937405</v>
      </c>
      <c r="AD4" s="0" t="n">
        <v>1586042060</v>
      </c>
    </row>
    <row r="5" customFormat="false" ht="12.8" hidden="false" customHeight="false" outlineLevel="0" collapsed="false">
      <c r="A5" s="0" t="s">
        <v>30</v>
      </c>
      <c r="B5" s="0" t="s">
        <v>43</v>
      </c>
      <c r="C5" s="0" t="s">
        <v>32</v>
      </c>
      <c r="E5" s="0" t="s">
        <v>33</v>
      </c>
      <c r="F5" s="0" t="s">
        <v>34</v>
      </c>
      <c r="H5" s="0" t="n">
        <v>1770</v>
      </c>
      <c r="I5" s="0" t="s">
        <v>35</v>
      </c>
      <c r="J5" s="0" t="s">
        <v>36</v>
      </c>
      <c r="K5" s="0" t="s">
        <v>36</v>
      </c>
      <c r="P5" s="0" t="s">
        <v>30</v>
      </c>
      <c r="Q5" s="0" t="s">
        <v>43</v>
      </c>
      <c r="R5" s="0" t="s">
        <v>44</v>
      </c>
      <c r="S5" s="0" t="s">
        <v>38</v>
      </c>
      <c r="T5" s="0" t="n">
        <v>3</v>
      </c>
      <c r="U5" s="0" t="s">
        <v>39</v>
      </c>
      <c r="V5" s="0" t="s">
        <v>41</v>
      </c>
      <c r="Z5" s="0" t="str">
        <f aca="false">HYPERLINK("http://lutemusic.org/composers/Abel/sonata_CM_02_minuetto_T.ft3")</f>
        <v>http://lutemusic.org/composers/Abel/sonata_CM_02_minuetto_T.ft3</v>
      </c>
      <c r="AA5" s="0" t="str">
        <f aca="false">HYPERLINK("http://lutemusic.org/composers/Abel/pdf/sonata_CM_02_minuetto_T.pdf")</f>
        <v>http://lutemusic.org/composers/Abel/pdf/sonata_CM_02_minuetto_T.pdf</v>
      </c>
      <c r="AB5" s="0" t="str">
        <f aca="false">HYPERLINK("http://lutemusic.org/composers/Abel/midi/sonata_CM_02_minuetto_T.mid")</f>
        <v>http://lutemusic.org/composers/Abel/midi/sonata_CM_02_minuetto_T.mid</v>
      </c>
      <c r="AC5" s="0" t="n">
        <v>1573937405</v>
      </c>
      <c r="AD5" s="0" t="n">
        <v>1586042060</v>
      </c>
    </row>
    <row r="6" customFormat="false" ht="12.8" hidden="false" customHeight="false" outlineLevel="0" collapsed="false">
      <c r="A6" s="0" t="s">
        <v>45</v>
      </c>
      <c r="C6" s="0" t="s">
        <v>46</v>
      </c>
      <c r="E6" s="0" t="s">
        <v>46</v>
      </c>
      <c r="F6" s="0" t="s">
        <v>47</v>
      </c>
      <c r="H6" s="0" t="n">
        <v>1574</v>
      </c>
      <c r="J6" s="0" t="s">
        <v>36</v>
      </c>
      <c r="K6" s="0" t="s">
        <v>36</v>
      </c>
      <c r="L6" s="0" t="s">
        <v>36</v>
      </c>
      <c r="R6" s="0" t="s">
        <v>48</v>
      </c>
      <c r="S6" s="0" t="s">
        <v>49</v>
      </c>
      <c r="T6" s="0" t="n">
        <v>2</v>
      </c>
      <c r="U6" s="0" t="s">
        <v>50</v>
      </c>
      <c r="V6" s="0" t="s">
        <v>40</v>
      </c>
      <c r="Z6" s="0" t="str">
        <f aca="false">HYPERLINK("http://lutemusic.org/composers/Agostini/o_villanella_4.ft3")</f>
        <v>http://lutemusic.org/composers/Agostini/o_villanella_4.ft3</v>
      </c>
      <c r="AA6" s="0" t="str">
        <f aca="false">HYPERLINK("http://lutemusic.org/composers/Agostini/pdf/o_villanella_4.pdf")</f>
        <v>http://lutemusic.org/composers/Agostini/pdf/o_villanella_4.pdf</v>
      </c>
      <c r="AB6" s="0" t="str">
        <f aca="false">HYPERLINK("http://lutemusic.org/composers/Agostini/midi/o_villanella_4.mid")</f>
        <v>http://lutemusic.org/composers/Agostini/midi/o_villanella_4.mid</v>
      </c>
      <c r="AC6" s="0" t="n">
        <v>1573937405</v>
      </c>
      <c r="AD6" s="0" t="n">
        <v>1586042060</v>
      </c>
    </row>
    <row r="7" customFormat="false" ht="12.8" hidden="false" customHeight="false" outlineLevel="0" collapsed="false">
      <c r="A7" s="0" t="s">
        <v>45</v>
      </c>
      <c r="C7" s="0" t="s">
        <v>46</v>
      </c>
      <c r="E7" s="0" t="s">
        <v>46</v>
      </c>
      <c r="F7" s="0" t="s">
        <v>47</v>
      </c>
      <c r="H7" s="0" t="n">
        <v>1574</v>
      </c>
      <c r="J7" s="0" t="s">
        <v>36</v>
      </c>
      <c r="K7" s="0" t="s">
        <v>36</v>
      </c>
      <c r="L7" s="0" t="s">
        <v>36</v>
      </c>
      <c r="P7" s="0" t="s">
        <v>45</v>
      </c>
      <c r="R7" s="0" t="s">
        <v>51</v>
      </c>
      <c r="S7" s="0" t="s">
        <v>49</v>
      </c>
      <c r="T7" s="0" t="n">
        <v>2</v>
      </c>
      <c r="U7" s="0" t="s">
        <v>52</v>
      </c>
      <c r="V7" s="0" t="s">
        <v>40</v>
      </c>
      <c r="Z7" s="0" t="str">
        <f aca="false">HYPERLINK("http://lutemusic.org/composers/Agostini/o_villanella_song.ft3")</f>
        <v>http://lutemusic.org/composers/Agostini/o_villanella_song.ft3</v>
      </c>
      <c r="AA7" s="0" t="str">
        <f aca="false">HYPERLINK("http://lutemusic.org/composers/Agostini/pdf/o_villanella_song.pdf")</f>
        <v>http://lutemusic.org/composers/Agostini/pdf/o_villanella_song.pdf</v>
      </c>
      <c r="AB7" s="0" t="str">
        <f aca="false">HYPERLINK("http://lutemusic.org/composers/Agostini/midi/o_villanella_song.mid")</f>
        <v>http://lutemusic.org/composers/Agostini/midi/o_villanella_song.mid</v>
      </c>
      <c r="AC7" s="0" t="n">
        <v>1573937405</v>
      </c>
      <c r="AD7" s="0" t="n">
        <v>1586042060</v>
      </c>
    </row>
    <row r="8" customFormat="false" ht="12.8" hidden="false" customHeight="false" outlineLevel="0" collapsed="false">
      <c r="A8" s="0" t="s">
        <v>45</v>
      </c>
      <c r="C8" s="0" t="s">
        <v>46</v>
      </c>
      <c r="E8" s="0" t="s">
        <v>46</v>
      </c>
      <c r="F8" s="0" t="s">
        <v>47</v>
      </c>
      <c r="H8" s="0" t="n">
        <v>1574</v>
      </c>
      <c r="J8" s="0" t="s">
        <v>36</v>
      </c>
      <c r="K8" s="0" t="s">
        <v>36</v>
      </c>
      <c r="L8" s="0" t="s">
        <v>36</v>
      </c>
      <c r="P8" s="0" t="s">
        <v>45</v>
      </c>
      <c r="R8" s="0" t="s">
        <v>51</v>
      </c>
      <c r="S8" s="0" t="s">
        <v>49</v>
      </c>
      <c r="T8" s="0" t="n">
        <v>2</v>
      </c>
      <c r="U8" s="0" t="s">
        <v>52</v>
      </c>
      <c r="V8" s="0" t="s">
        <v>53</v>
      </c>
      <c r="Z8" s="0" t="str">
        <f aca="false">HYPERLINK("http://lutemusic.org/composers/Agostini/o_villanella_song_T.ft3")</f>
        <v>http://lutemusic.org/composers/Agostini/o_villanella_song_T.ft3</v>
      </c>
      <c r="AA8" s="0" t="str">
        <f aca="false">HYPERLINK("http://lutemusic.org/composers/Agostini/pdf/o_villanella_song_T.pdf")</f>
        <v>http://lutemusic.org/composers/Agostini/pdf/o_villanella_song_T.pdf</v>
      </c>
      <c r="AB8" s="0" t="str">
        <f aca="false">HYPERLINK("http://lutemusic.org/composers/Agostini/midi/o_villanella_song_T.mid")</f>
        <v>http://lutemusic.org/composers/Agostini/midi/o_villanella_song_T.mid</v>
      </c>
      <c r="AC8" s="0" t="n">
        <v>1573937405</v>
      </c>
      <c r="AD8" s="0" t="n">
        <v>1586042060</v>
      </c>
    </row>
    <row r="9" customFormat="false" ht="12.8" hidden="false" customHeight="false" outlineLevel="0" collapsed="false">
      <c r="A9" s="0" t="s">
        <v>54</v>
      </c>
      <c r="C9" s="0" t="s">
        <v>55</v>
      </c>
      <c r="E9" s="0" t="s">
        <v>56</v>
      </c>
      <c r="F9" s="0" t="s">
        <v>57</v>
      </c>
      <c r="H9" s="0" t="n">
        <v>1536</v>
      </c>
      <c r="I9" s="0" t="s">
        <v>58</v>
      </c>
      <c r="J9" s="0" t="s">
        <v>36</v>
      </c>
      <c r="K9" s="0" t="s">
        <v>59</v>
      </c>
      <c r="P9" s="0" t="s">
        <v>60</v>
      </c>
      <c r="R9" s="0" t="s">
        <v>61</v>
      </c>
      <c r="S9" s="0" t="s">
        <v>62</v>
      </c>
      <c r="T9" s="0" t="n">
        <v>3</v>
      </c>
      <c r="U9" s="0" t="s">
        <v>63</v>
      </c>
      <c r="Y9" s="0" t="str">
        <f aca="false">HYPERLINK("http://lutemusic.org/facsimiles/CastelionoG/Intabolatura_da_Leuto_1536/31.png")</f>
        <v>http://lutemusic.org/facsimiles/CastelionoG/Intabolatura_da_Leuto_1536/31.png</v>
      </c>
      <c r="Z9" s="0" t="str">
        <f aca="false">HYPERLINK("http://lutemusic.org/composers/Albuzio/22_Fantasia_1.ft3")</f>
        <v>http://lutemusic.org/composers/Albuzio/22_Fantasia_1.ft3</v>
      </c>
      <c r="AA9" s="0" t="str">
        <f aca="false">HYPERLINK("http://lutemusic.org/composers/Albuzio/pdf/22_Fantasia_1.pdf")</f>
        <v>http://lutemusic.org/composers/Albuzio/pdf/22_Fantasia_1.pdf</v>
      </c>
      <c r="AB9" s="0" t="str">
        <f aca="false">HYPERLINK("http://lutemusic.org/composers/Albuzio/midi/22_Fantasia_1.mid")</f>
        <v>http://lutemusic.org/composers/Albuzio/midi/22_Fantasia_1.mid</v>
      </c>
      <c r="AC9" s="0" t="n">
        <v>1573937405</v>
      </c>
      <c r="AD9" s="0" t="n">
        <v>1588468777</v>
      </c>
    </row>
    <row r="10" customFormat="false" ht="12.8" hidden="false" customHeight="false" outlineLevel="0" collapsed="false">
      <c r="A10" s="0" t="s">
        <v>64</v>
      </c>
      <c r="C10" s="0" t="s">
        <v>55</v>
      </c>
      <c r="E10" s="0" t="s">
        <v>56</v>
      </c>
      <c r="F10" s="0" t="s">
        <v>57</v>
      </c>
      <c r="H10" s="0" t="n">
        <v>1536</v>
      </c>
      <c r="I10" s="0" t="s">
        <v>65</v>
      </c>
      <c r="J10" s="0" t="s">
        <v>36</v>
      </c>
      <c r="K10" s="0" t="s">
        <v>59</v>
      </c>
      <c r="P10" s="0" t="s">
        <v>64</v>
      </c>
      <c r="R10" s="0" t="s">
        <v>61</v>
      </c>
      <c r="S10" s="0" t="s">
        <v>66</v>
      </c>
      <c r="T10" s="0" t="n">
        <v>3</v>
      </c>
      <c r="U10" s="0" t="s">
        <v>63</v>
      </c>
      <c r="Y10" s="0" t="str">
        <f aca="false">HYPERLINK("http://lutemusic.org/facsimiles/CastelionoG/Intabolatura_da_Leuto_1536/59.png")</f>
        <v>http://lutemusic.org/facsimiles/CastelionoG/Intabolatura_da_Leuto_1536/59.png</v>
      </c>
      <c r="Z10" s="0" t="str">
        <f aca="false">HYPERLINK("http://lutemusic.org/composers/Albuzio/40_Fantasia_2.ft3")</f>
        <v>http://lutemusic.org/composers/Albuzio/40_Fantasia_2.ft3</v>
      </c>
      <c r="AA10" s="0" t="str">
        <f aca="false">HYPERLINK("http://lutemusic.org/composers/Albuzio/pdf/40_Fantasia_2.pdf")</f>
        <v>http://lutemusic.org/composers/Albuzio/pdf/40_Fantasia_2.pdf</v>
      </c>
      <c r="AB10" s="0" t="str">
        <f aca="false">HYPERLINK("http://lutemusic.org/composers/Albuzio/midi/40_Fantasia_2.mid")</f>
        <v>http://lutemusic.org/composers/Albuzio/midi/40_Fantasia_2.mid</v>
      </c>
      <c r="AC10" s="0" t="n">
        <v>1573937405</v>
      </c>
      <c r="AD10" s="0" t="n">
        <v>1588468777</v>
      </c>
    </row>
    <row r="11" customFormat="false" ht="12.8" hidden="false" customHeight="false" outlineLevel="0" collapsed="false">
      <c r="A11" s="0" t="s">
        <v>67</v>
      </c>
      <c r="C11" s="0" t="s">
        <v>68</v>
      </c>
      <c r="E11" s="0" t="s">
        <v>68</v>
      </c>
      <c r="F11" s="0" t="s">
        <v>69</v>
      </c>
      <c r="H11" s="0" t="s">
        <v>70</v>
      </c>
      <c r="I11" s="0" t="s">
        <v>71</v>
      </c>
      <c r="J11" s="0" t="s">
        <v>36</v>
      </c>
      <c r="K11" s="0" t="s">
        <v>36</v>
      </c>
      <c r="P11" s="0" t="s">
        <v>67</v>
      </c>
      <c r="R11" s="0" t="s">
        <v>72</v>
      </c>
      <c r="S11" s="0" t="s">
        <v>62</v>
      </c>
      <c r="T11" s="0" t="n">
        <v>2</v>
      </c>
      <c r="U11" s="0" t="s">
        <v>53</v>
      </c>
      <c r="Z11" s="0" t="str">
        <f aca="false">HYPERLINK("http://lutemusic.org/composers/Allison/allison_lords_prayer.ft3")</f>
        <v>http://lutemusic.org/composers/Allison/allison_lords_prayer.ft3</v>
      </c>
      <c r="AA11" s="0" t="str">
        <f aca="false">HYPERLINK("http://lutemusic.org/composers/Allison/pdf/allison_lords_prayer.pdf")</f>
        <v>http://lutemusic.org/composers/Allison/pdf/allison_lords_prayer.pdf</v>
      </c>
      <c r="AB11" s="0" t="str">
        <f aca="false">HYPERLINK("http://lutemusic.org/composers/Allison/midi/allison_lords_prayer.mid")</f>
        <v>http://lutemusic.org/composers/Allison/midi/allison_lords_prayer.mid</v>
      </c>
      <c r="AC11" s="0" t="n">
        <v>1573937405</v>
      </c>
      <c r="AD11" s="0" t="n">
        <v>1586042060</v>
      </c>
    </row>
    <row r="12" customFormat="false" ht="12.8" hidden="false" customHeight="false" outlineLevel="0" collapsed="false">
      <c r="A12" s="0" t="s">
        <v>73</v>
      </c>
      <c r="C12" s="0" t="s">
        <v>68</v>
      </c>
      <c r="E12" s="0" t="s">
        <v>74</v>
      </c>
      <c r="F12" s="0" t="s">
        <v>75</v>
      </c>
      <c r="H12" s="0" t="n">
        <v>1600</v>
      </c>
      <c r="I12" s="0" t="s">
        <v>76</v>
      </c>
      <c r="J12" s="0" t="s">
        <v>36</v>
      </c>
      <c r="K12" s="0" t="s">
        <v>36</v>
      </c>
      <c r="P12" s="0" t="s">
        <v>73</v>
      </c>
      <c r="R12" s="0" t="s">
        <v>77</v>
      </c>
      <c r="S12" s="0" t="s">
        <v>38</v>
      </c>
      <c r="T12" s="0" t="n">
        <v>6</v>
      </c>
      <c r="U12" s="0" t="s">
        <v>63</v>
      </c>
      <c r="Z12" s="0" t="str">
        <f aca="false">HYPERLINK("http://lutemusic.org/composers/Allison/allison_quadro_pavan.ft3")</f>
        <v>http://lutemusic.org/composers/Allison/allison_quadro_pavan.ft3</v>
      </c>
      <c r="AA12" s="0" t="str">
        <f aca="false">HYPERLINK("http://lutemusic.org/composers/Allison/pdf/allison_quadro_pavan.pdf")</f>
        <v>http://lutemusic.org/composers/Allison/pdf/allison_quadro_pavan.pdf</v>
      </c>
      <c r="AB12" s="0" t="str">
        <f aca="false">HYPERLINK("http://lutemusic.org/composers/Allison/midi/allison_quadro_pavan.mid")</f>
        <v>http://lutemusic.org/composers/Allison/midi/allison_quadro_pavan.mid</v>
      </c>
      <c r="AC12" s="0" t="n">
        <v>1573937405</v>
      </c>
      <c r="AD12" s="0" t="n">
        <v>1586042060</v>
      </c>
    </row>
    <row r="13" customFormat="false" ht="12.8" hidden="false" customHeight="false" outlineLevel="0" collapsed="false">
      <c r="A13" s="0" t="s">
        <v>78</v>
      </c>
      <c r="C13" s="0" t="s">
        <v>79</v>
      </c>
      <c r="E13" s="0" t="s">
        <v>80</v>
      </c>
      <c r="F13" s="0" t="s">
        <v>81</v>
      </c>
      <c r="H13" s="0" t="n">
        <v>1690</v>
      </c>
      <c r="I13" s="0" t="s">
        <v>82</v>
      </c>
      <c r="J13" s="0" t="s">
        <v>36</v>
      </c>
      <c r="K13" s="0" t="s">
        <v>36</v>
      </c>
      <c r="P13" s="0" t="s">
        <v>78</v>
      </c>
      <c r="R13" s="0" t="s">
        <v>83</v>
      </c>
      <c r="S13" s="0" t="s">
        <v>84</v>
      </c>
      <c r="T13" s="0" t="n">
        <v>3</v>
      </c>
      <c r="U13" s="0" t="s">
        <v>85</v>
      </c>
      <c r="Z13" s="0" t="str">
        <f aca="false">HYPERLINK("http://lutemusic.org/composers/Anon/010_anon_port_atholl.ft3")</f>
        <v>http://lutemusic.org/composers/Anon/010_anon_port_atholl.ft3</v>
      </c>
      <c r="AA13" s="0" t="str">
        <f aca="false">HYPERLINK("http://lutemusic.org/composers/Anon/pdf/010_anon_port_atholl.pdf")</f>
        <v>http://lutemusic.org/composers/Anon/pdf/010_anon_port_atholl.pdf</v>
      </c>
      <c r="AB13" s="0" t="str">
        <f aca="false">HYPERLINK("http://lutemusic.org/composers/Anon/midi/010_anon_port_atholl.mid")</f>
        <v>http://lutemusic.org/composers/Anon/midi/010_anon_port_atholl.mid</v>
      </c>
      <c r="AC13" s="0" t="n">
        <v>1573937406</v>
      </c>
      <c r="AD13" s="0" t="n">
        <v>1586042060</v>
      </c>
    </row>
    <row r="14" customFormat="false" ht="12.8" hidden="false" customHeight="false" outlineLevel="0" collapsed="false">
      <c r="A14" s="0" t="s">
        <v>86</v>
      </c>
      <c r="C14" s="0" t="s">
        <v>79</v>
      </c>
      <c r="E14" s="0" t="s">
        <v>80</v>
      </c>
      <c r="F14" s="0" t="s">
        <v>81</v>
      </c>
      <c r="H14" s="0" t="n">
        <v>1690</v>
      </c>
      <c r="I14" s="0" t="s">
        <v>87</v>
      </c>
      <c r="J14" s="0" t="s">
        <v>36</v>
      </c>
      <c r="K14" s="0" t="s">
        <v>36</v>
      </c>
      <c r="P14" s="0" t="s">
        <v>86</v>
      </c>
      <c r="R14" s="0" t="s">
        <v>88</v>
      </c>
      <c r="S14" s="0" t="s">
        <v>38</v>
      </c>
      <c r="T14" s="0" t="n">
        <v>3</v>
      </c>
      <c r="U14" s="0" t="s">
        <v>85</v>
      </c>
      <c r="Z14" s="0" t="str">
        <f aca="false">HYPERLINK("http://lutemusic.org/composers/Anon/015_anon_a_new_scots_measure.ft3")</f>
        <v>http://lutemusic.org/composers/Anon/015_anon_a_new_scots_measure.ft3</v>
      </c>
      <c r="AA14" s="0" t="str">
        <f aca="false">HYPERLINK("http://lutemusic.org/composers/Anon/pdf/015_anon_a_new_scots_measure.pdf")</f>
        <v>http://lutemusic.org/composers/Anon/pdf/015_anon_a_new_scots_measure.pdf</v>
      </c>
      <c r="AB14" s="0" t="str">
        <f aca="false">HYPERLINK("http://lutemusic.org/composers/Anon/midi/015_anon_a_new_scots_measure.mid")</f>
        <v>http://lutemusic.org/composers/Anon/midi/015_anon_a_new_scots_measure.mid</v>
      </c>
      <c r="AC14" s="0" t="n">
        <v>1573937406</v>
      </c>
      <c r="AD14" s="0" t="n">
        <v>1586042060</v>
      </c>
    </row>
    <row r="15" customFormat="false" ht="12.8" hidden="false" customHeight="false" outlineLevel="0" collapsed="false">
      <c r="A15" s="0" t="s">
        <v>89</v>
      </c>
      <c r="C15" s="0" t="s">
        <v>79</v>
      </c>
      <c r="E15" s="0" t="s">
        <v>80</v>
      </c>
      <c r="F15" s="0" t="s">
        <v>81</v>
      </c>
      <c r="H15" s="0" t="n">
        <v>1690</v>
      </c>
      <c r="I15" s="0" t="s">
        <v>90</v>
      </c>
      <c r="J15" s="0" t="s">
        <v>36</v>
      </c>
      <c r="K15" s="0" t="s">
        <v>36</v>
      </c>
      <c r="P15" s="0" t="s">
        <v>89</v>
      </c>
      <c r="R15" s="0" t="s">
        <v>83</v>
      </c>
      <c r="S15" s="0" t="s">
        <v>49</v>
      </c>
      <c r="T15" s="0" t="n">
        <v>3</v>
      </c>
      <c r="U15" s="0" t="s">
        <v>85</v>
      </c>
      <c r="Z15" s="0" t="str">
        <f aca="false">HYPERLINK("http://lutemusic.org/composers/Anon/021_anon_Nathaniel_Gordon.ft3")</f>
        <v>http://lutemusic.org/composers/Anon/021_anon_Nathaniel_Gordon.ft3</v>
      </c>
      <c r="AA15" s="0" t="str">
        <f aca="false">HYPERLINK("http://lutemusic.org/composers/Anon/pdf/021_anon_Nathaniel_Gordon.pdf")</f>
        <v>http://lutemusic.org/composers/Anon/pdf/021_anon_Nathaniel_Gordon.pdf</v>
      </c>
      <c r="AB15" s="0" t="str">
        <f aca="false">HYPERLINK("http://lutemusic.org/composers/Anon/midi/021_anon_Nathaniel_Gordon.mid")</f>
        <v>http://lutemusic.org/composers/Anon/midi/021_anon_Nathaniel_Gordon.mid</v>
      </c>
      <c r="AC15" s="0" t="n">
        <v>1573937406</v>
      </c>
      <c r="AD15" s="0" t="n">
        <v>1586042060</v>
      </c>
    </row>
    <row r="16" customFormat="false" ht="12.8" hidden="false" customHeight="false" outlineLevel="0" collapsed="false">
      <c r="A16" s="0" t="s">
        <v>91</v>
      </c>
      <c r="C16" s="0" t="s">
        <v>79</v>
      </c>
      <c r="E16" s="0" t="s">
        <v>80</v>
      </c>
      <c r="F16" s="0" t="s">
        <v>81</v>
      </c>
      <c r="H16" s="0" t="n">
        <v>1690</v>
      </c>
      <c r="I16" s="0" t="s">
        <v>92</v>
      </c>
      <c r="J16" s="0" t="s">
        <v>36</v>
      </c>
      <c r="K16" s="0" t="s">
        <v>36</v>
      </c>
      <c r="P16" s="0" t="s">
        <v>91</v>
      </c>
      <c r="R16" s="0" t="s">
        <v>83</v>
      </c>
      <c r="S16" s="0" t="s">
        <v>38</v>
      </c>
      <c r="T16" s="0" t="n">
        <v>3</v>
      </c>
      <c r="U16" s="0" t="s">
        <v>85</v>
      </c>
      <c r="Z16" s="0" t="str">
        <f aca="false">HYPERLINK("http://lutemusic.org/composers/Anon/023_anon_the_broom_of_caudin_knows.ft3")</f>
        <v>http://lutemusic.org/composers/Anon/023_anon_the_broom_of_caudin_knows.ft3</v>
      </c>
      <c r="AA16" s="0" t="str">
        <f aca="false">HYPERLINK("http://lutemusic.org/composers/Anon/pdf/023_anon_the_broom_of_caudin_knows.pdf")</f>
        <v>http://lutemusic.org/composers/Anon/pdf/023_anon_the_broom_of_caudin_knows.pdf</v>
      </c>
      <c r="AB16" s="0" t="str">
        <f aca="false">HYPERLINK("http://lutemusic.org/composers/Anon/midi/023_anon_the_broom_of_caudin_knows.mid")</f>
        <v>http://lutemusic.org/composers/Anon/midi/023_anon_the_broom_of_caudin_knows.mid</v>
      </c>
      <c r="AC16" s="0" t="n">
        <v>1573937406</v>
      </c>
      <c r="AD16" s="0" t="n">
        <v>1586042060</v>
      </c>
    </row>
    <row r="17" customFormat="false" ht="12.8" hidden="false" customHeight="false" outlineLevel="0" collapsed="false">
      <c r="A17" s="0" t="s">
        <v>93</v>
      </c>
      <c r="C17" s="0" t="s">
        <v>94</v>
      </c>
      <c r="E17" s="0" t="s">
        <v>94</v>
      </c>
      <c r="F17" s="0" t="s">
        <v>95</v>
      </c>
      <c r="H17" s="0" t="n">
        <v>1529</v>
      </c>
      <c r="I17" s="0" t="s">
        <v>96</v>
      </c>
      <c r="J17" s="0" t="s">
        <v>36</v>
      </c>
      <c r="K17" s="0" t="s">
        <v>36</v>
      </c>
      <c r="P17" s="0" t="s">
        <v>93</v>
      </c>
      <c r="R17" s="0" t="s">
        <v>97</v>
      </c>
      <c r="S17" s="0" t="s">
        <v>62</v>
      </c>
      <c r="T17" s="0" t="n">
        <v>3</v>
      </c>
      <c r="U17" s="0" t="s">
        <v>63</v>
      </c>
      <c r="Y17" s="0" t="str">
        <f aca="false">HYPERLINK("http://lutemusic.org/facsimiles/AttaingnantP/Tres_Breve_et_Familiere_Introduction_1529/02.png")</f>
        <v>http://lutemusic.org/facsimiles/AttaingnantP/Tres_Breve_et_Familiere_Introduction_1529/02.png</v>
      </c>
      <c r="Z17" s="0" t="str">
        <f aca="false">HYPERLINK("http://lutemusic.org/composers/Anon/02_anon_prelude_1.ft3")</f>
        <v>http://lutemusic.org/composers/Anon/02_anon_prelude_1.ft3</v>
      </c>
      <c r="AA17" s="0" t="str">
        <f aca="false">HYPERLINK("http://lutemusic.org/composers/Anon/pdf/02_anon_prelude_1.pdf")</f>
        <v>http://lutemusic.org/composers/Anon/pdf/02_anon_prelude_1.pdf</v>
      </c>
      <c r="AB17" s="0" t="str">
        <f aca="false">HYPERLINK("http://lutemusic.org/composers/Anon/midi/02_anon_prelude_1.mid")</f>
        <v>http://lutemusic.org/composers/Anon/midi/02_anon_prelude_1.mid</v>
      </c>
      <c r="AC17" s="0" t="n">
        <v>1573937406</v>
      </c>
      <c r="AD17" s="0" t="n">
        <v>1588468777</v>
      </c>
    </row>
    <row r="18" customFormat="false" ht="12.8" hidden="false" customHeight="false" outlineLevel="0" collapsed="false">
      <c r="A18" s="0" t="s">
        <v>98</v>
      </c>
      <c r="C18" s="0" t="s">
        <v>79</v>
      </c>
      <c r="E18" s="0" t="s">
        <v>80</v>
      </c>
      <c r="F18" s="0" t="s">
        <v>81</v>
      </c>
      <c r="H18" s="0" t="n">
        <v>1690</v>
      </c>
      <c r="I18" s="0" t="s">
        <v>99</v>
      </c>
      <c r="J18" s="0" t="s">
        <v>36</v>
      </c>
      <c r="K18" s="0" t="s">
        <v>36</v>
      </c>
      <c r="P18" s="0" t="s">
        <v>98</v>
      </c>
      <c r="R18" s="0" t="s">
        <v>83</v>
      </c>
      <c r="S18" s="0" t="s">
        <v>84</v>
      </c>
      <c r="T18" s="0" t="n">
        <v>3</v>
      </c>
      <c r="U18" s="0" t="s">
        <v>85</v>
      </c>
      <c r="Z18" s="0" t="str">
        <f aca="false">HYPERLINK("http://lutemusic.org/composers/Anon/031_anon_lillibollaro.ft3")</f>
        <v>http://lutemusic.org/composers/Anon/031_anon_lillibollaro.ft3</v>
      </c>
      <c r="AA18" s="0" t="str">
        <f aca="false">HYPERLINK("http://lutemusic.org/composers/Anon/pdf/031_anon_lillibollaro.pdf")</f>
        <v>http://lutemusic.org/composers/Anon/pdf/031_anon_lillibollaro.pdf</v>
      </c>
      <c r="AB18" s="0" t="str">
        <f aca="false">HYPERLINK("http://lutemusic.org/composers/Anon/midi/031_anon_lillibollaro.mid")</f>
        <v>http://lutemusic.org/composers/Anon/midi/031_anon_lillibollaro.mid</v>
      </c>
      <c r="AC18" s="0" t="n">
        <v>1573937406</v>
      </c>
      <c r="AD18" s="0" t="n">
        <v>1586042060</v>
      </c>
    </row>
    <row r="19" customFormat="false" ht="12.8" hidden="false" customHeight="false" outlineLevel="0" collapsed="false">
      <c r="A19" s="0" t="s">
        <v>100</v>
      </c>
      <c r="C19" s="0" t="s">
        <v>79</v>
      </c>
      <c r="E19" s="0" t="s">
        <v>80</v>
      </c>
      <c r="F19" s="0" t="s">
        <v>81</v>
      </c>
      <c r="H19" s="0" t="n">
        <v>1690</v>
      </c>
      <c r="I19" s="0" t="s">
        <v>101</v>
      </c>
      <c r="J19" s="0" t="s">
        <v>36</v>
      </c>
      <c r="K19" s="0" t="s">
        <v>36</v>
      </c>
      <c r="P19" s="0" t="s">
        <v>100</v>
      </c>
      <c r="R19" s="0" t="s">
        <v>83</v>
      </c>
      <c r="S19" s="0" t="s">
        <v>49</v>
      </c>
      <c r="T19" s="0" t="n">
        <v>3</v>
      </c>
      <c r="U19" s="0" t="s">
        <v>85</v>
      </c>
      <c r="Z19" s="0" t="str">
        <f aca="false">HYPERLINK("http://lutemusic.org/composers/Anon/059_anon_I_wish.ft3")</f>
        <v>http://lutemusic.org/composers/Anon/059_anon_I_wish.ft3</v>
      </c>
      <c r="AA19" s="0" t="str">
        <f aca="false">HYPERLINK("http://lutemusic.org/composers/Anon/pdf/059_anon_I_wish.pdf")</f>
        <v>http://lutemusic.org/composers/Anon/pdf/059_anon_I_wish.pdf</v>
      </c>
      <c r="AB19" s="0" t="str">
        <f aca="false">HYPERLINK("http://lutemusic.org/composers/Anon/midi/059_anon_I_wish.mid")</f>
        <v>http://lutemusic.org/composers/Anon/midi/059_anon_I_wish.mid</v>
      </c>
      <c r="AC19" s="0" t="n">
        <v>1573937406</v>
      </c>
      <c r="AD19" s="0" t="n">
        <v>1586042060</v>
      </c>
    </row>
    <row r="20" customFormat="false" ht="12.8" hidden="false" customHeight="false" outlineLevel="0" collapsed="false">
      <c r="A20" s="0" t="s">
        <v>102</v>
      </c>
      <c r="C20" s="0" t="s">
        <v>79</v>
      </c>
      <c r="E20" s="0" t="s">
        <v>80</v>
      </c>
      <c r="F20" s="0" t="s">
        <v>81</v>
      </c>
      <c r="H20" s="0" t="n">
        <v>1690</v>
      </c>
      <c r="I20" s="0" t="s">
        <v>103</v>
      </c>
      <c r="J20" s="0" t="s">
        <v>36</v>
      </c>
      <c r="K20" s="0" t="s">
        <v>36</v>
      </c>
      <c r="P20" s="0" t="s">
        <v>102</v>
      </c>
      <c r="R20" s="0" t="s">
        <v>104</v>
      </c>
      <c r="S20" s="0" t="s">
        <v>49</v>
      </c>
      <c r="T20" s="0" t="n">
        <v>3</v>
      </c>
      <c r="U20" s="0" t="s">
        <v>85</v>
      </c>
      <c r="Z20" s="0" t="str">
        <f aca="false">HYPERLINK("http://lutemusic.org/composers/Anon/068_anon_old_long_syne.ft3")</f>
        <v>http://lutemusic.org/composers/Anon/068_anon_old_long_syne.ft3</v>
      </c>
      <c r="AA20" s="0" t="str">
        <f aca="false">HYPERLINK("http://lutemusic.org/composers/Anon/pdf/068_anon_old_long_syne.pdf")</f>
        <v>http://lutemusic.org/composers/Anon/pdf/068_anon_old_long_syne.pdf</v>
      </c>
      <c r="AB20" s="0" t="str">
        <f aca="false">HYPERLINK("http://lutemusic.org/composers/Anon/midi/068_anon_old_long_syne.mid")</f>
        <v>http://lutemusic.org/composers/Anon/midi/068_anon_old_long_syne.mid</v>
      </c>
      <c r="AC20" s="0" t="n">
        <v>1573937406</v>
      </c>
      <c r="AD20" s="0" t="n">
        <v>1586042060</v>
      </c>
    </row>
    <row r="21" customFormat="false" ht="12.8" hidden="false" customHeight="false" outlineLevel="0" collapsed="false">
      <c r="A21" s="0" t="s">
        <v>105</v>
      </c>
      <c r="C21" s="0" t="s">
        <v>79</v>
      </c>
      <c r="E21" s="0" t="s">
        <v>94</v>
      </c>
      <c r="F21" s="0" t="s">
        <v>106</v>
      </c>
      <c r="H21" s="0" t="n">
        <v>1530</v>
      </c>
      <c r="I21" s="0" t="s">
        <v>107</v>
      </c>
      <c r="J21" s="0" t="s">
        <v>36</v>
      </c>
      <c r="K21" s="0" t="s">
        <v>36</v>
      </c>
      <c r="P21" s="0" t="s">
        <v>105</v>
      </c>
      <c r="R21" s="0" t="s">
        <v>108</v>
      </c>
      <c r="S21" s="0" t="s">
        <v>38</v>
      </c>
      <c r="T21" s="0" t="n">
        <v>2</v>
      </c>
      <c r="U21" s="0" t="s">
        <v>63</v>
      </c>
      <c r="Z21" s="0" t="str">
        <f aca="false">HYPERLINK("http://lutemusic.org/composers/Anon/06_anon_la_roque.ft3")</f>
        <v>http://lutemusic.org/composers/Anon/06_anon_la_roque.ft3</v>
      </c>
      <c r="AA21" s="0" t="str">
        <f aca="false">HYPERLINK("http://lutemusic.org/composers/Anon/pdf/06_anon_la_roque.pdf")</f>
        <v>http://lutemusic.org/composers/Anon/pdf/06_anon_la_roque.pdf</v>
      </c>
      <c r="AB21" s="0" t="str">
        <f aca="false">HYPERLINK("http://lutemusic.org/composers/Anon/midi/06_anon_la_roque.mid")</f>
        <v>http://lutemusic.org/composers/Anon/midi/06_anon_la_roque.mid</v>
      </c>
      <c r="AC21" s="0" t="n">
        <v>1573937406</v>
      </c>
      <c r="AD21" s="0" t="n">
        <v>1593131615</v>
      </c>
    </row>
    <row r="22" customFormat="false" ht="12.8" hidden="false" customHeight="false" outlineLevel="0" collapsed="false">
      <c r="A22" s="0" t="s">
        <v>109</v>
      </c>
      <c r="C22" s="0" t="s">
        <v>79</v>
      </c>
      <c r="E22" s="0" t="s">
        <v>80</v>
      </c>
      <c r="F22" s="0" t="s">
        <v>81</v>
      </c>
      <c r="H22" s="0" t="n">
        <v>1690</v>
      </c>
      <c r="I22" s="0" t="s">
        <v>110</v>
      </c>
      <c r="J22" s="0" t="s">
        <v>36</v>
      </c>
      <c r="K22" s="0" t="s">
        <v>36</v>
      </c>
      <c r="P22" s="0" t="s">
        <v>109</v>
      </c>
      <c r="R22" s="0" t="s">
        <v>111</v>
      </c>
      <c r="S22" s="0" t="s">
        <v>49</v>
      </c>
      <c r="T22" s="0" t="n">
        <v>3</v>
      </c>
      <c r="U22" s="0" t="s">
        <v>85</v>
      </c>
      <c r="Z22" s="0" t="str">
        <f aca="false">HYPERLINK("http://lutemusic.org/composers/Anon/080_anon_monks_march.ft3")</f>
        <v>http://lutemusic.org/composers/Anon/080_anon_monks_march.ft3</v>
      </c>
      <c r="AA22" s="0" t="str">
        <f aca="false">HYPERLINK("http://lutemusic.org/composers/Anon/pdf/080_anon_monks_march.pdf")</f>
        <v>http://lutemusic.org/composers/Anon/pdf/080_anon_monks_march.pdf</v>
      </c>
      <c r="AB22" s="0" t="str">
        <f aca="false">HYPERLINK("http://lutemusic.org/composers/Anon/midi/080_anon_monks_march.mid")</f>
        <v>http://lutemusic.org/composers/Anon/midi/080_anon_monks_march.mid</v>
      </c>
      <c r="AC22" s="0" t="n">
        <v>1573937406</v>
      </c>
      <c r="AD22" s="0" t="n">
        <v>1586042060</v>
      </c>
    </row>
    <row r="23" customFormat="false" ht="12.8" hidden="false" customHeight="false" outlineLevel="0" collapsed="false">
      <c r="A23" s="0" t="s">
        <v>112</v>
      </c>
      <c r="C23" s="0" t="s">
        <v>79</v>
      </c>
      <c r="E23" s="0" t="s">
        <v>80</v>
      </c>
      <c r="F23" s="0" t="s">
        <v>81</v>
      </c>
      <c r="H23" s="0" t="n">
        <v>1690</v>
      </c>
      <c r="I23" s="0" t="s">
        <v>113</v>
      </c>
      <c r="J23" s="0" t="s">
        <v>36</v>
      </c>
      <c r="K23" s="0" t="s">
        <v>36</v>
      </c>
      <c r="P23" s="0" t="s">
        <v>112</v>
      </c>
      <c r="R23" s="0" t="s">
        <v>114</v>
      </c>
      <c r="S23" s="0" t="s">
        <v>62</v>
      </c>
      <c r="T23" s="0" t="n">
        <v>3</v>
      </c>
      <c r="U23" s="0" t="s">
        <v>85</v>
      </c>
      <c r="Z23" s="0" t="str">
        <f aca="false">HYPERLINK("http://lutemusic.org/composers/Anon/084_anon_la_gavotte_frondeuse.ft3")</f>
        <v>http://lutemusic.org/composers/Anon/084_anon_la_gavotte_frondeuse.ft3</v>
      </c>
      <c r="AA23" s="0" t="str">
        <f aca="false">HYPERLINK("http://lutemusic.org/composers/Anon/pdf/084_anon_la_gavotte_frondeuse.pdf")</f>
        <v>http://lutemusic.org/composers/Anon/pdf/084_anon_la_gavotte_frondeuse.pdf</v>
      </c>
      <c r="AB23" s="0" t="str">
        <f aca="false">HYPERLINK("http://lutemusic.org/composers/Anon/midi/084_anon_la_gavotte_frondeuse.mid")</f>
        <v>http://lutemusic.org/composers/Anon/midi/084_anon_la_gavotte_frondeuse.mid</v>
      </c>
      <c r="AC23" s="0" t="n">
        <v>1573937406</v>
      </c>
      <c r="AD23" s="0" t="n">
        <v>1586042060</v>
      </c>
    </row>
    <row r="24" customFormat="false" ht="12.8" hidden="false" customHeight="false" outlineLevel="0" collapsed="false">
      <c r="A24" s="0" t="s">
        <v>115</v>
      </c>
      <c r="C24" s="0" t="s">
        <v>79</v>
      </c>
      <c r="E24" s="0" t="s">
        <v>80</v>
      </c>
      <c r="F24" s="0" t="s">
        <v>81</v>
      </c>
      <c r="H24" s="0" t="n">
        <v>1690</v>
      </c>
      <c r="I24" s="0" t="s">
        <v>116</v>
      </c>
      <c r="J24" s="0" t="s">
        <v>36</v>
      </c>
      <c r="K24" s="0" t="s">
        <v>36</v>
      </c>
      <c r="P24" s="0" t="s">
        <v>115</v>
      </c>
      <c r="R24" s="0" t="s">
        <v>83</v>
      </c>
      <c r="S24" s="0" t="s">
        <v>38</v>
      </c>
      <c r="T24" s="0" t="n">
        <v>3</v>
      </c>
      <c r="U24" s="0" t="s">
        <v>85</v>
      </c>
      <c r="Z24" s="0" t="str">
        <f aca="false">HYPERLINK("http://lutemusic.org/composers/Anon/086_anon_dragons.ft3")</f>
        <v>http://lutemusic.org/composers/Anon/086_anon_dragons.ft3</v>
      </c>
      <c r="AA24" s="0" t="str">
        <f aca="false">HYPERLINK("http://lutemusic.org/composers/Anon/pdf/086_anon_dragons.pdf")</f>
        <v>http://lutemusic.org/composers/Anon/pdf/086_anon_dragons.pdf</v>
      </c>
      <c r="AB24" s="0" t="str">
        <f aca="false">HYPERLINK("http://lutemusic.org/composers/Anon/midi/086_anon_dragons.mid")</f>
        <v>http://lutemusic.org/composers/Anon/midi/086_anon_dragons.mid</v>
      </c>
      <c r="AC24" s="0" t="n">
        <v>1573937406</v>
      </c>
      <c r="AD24" s="0" t="n">
        <v>1586042060</v>
      </c>
    </row>
    <row r="25" customFormat="false" ht="12.8" hidden="false" customHeight="false" outlineLevel="0" collapsed="false">
      <c r="A25" s="0" t="s">
        <v>117</v>
      </c>
      <c r="C25" s="0" t="s">
        <v>79</v>
      </c>
      <c r="E25" s="0" t="s">
        <v>80</v>
      </c>
      <c r="F25" s="0" t="s">
        <v>81</v>
      </c>
      <c r="H25" s="0" t="n">
        <v>1690</v>
      </c>
      <c r="I25" s="0" t="s">
        <v>118</v>
      </c>
      <c r="J25" s="0" t="s">
        <v>36</v>
      </c>
      <c r="K25" s="0" t="s">
        <v>36</v>
      </c>
      <c r="P25" s="0" t="s">
        <v>117</v>
      </c>
      <c r="R25" s="0" t="s">
        <v>83</v>
      </c>
      <c r="S25" s="0" t="s">
        <v>119</v>
      </c>
      <c r="T25" s="0" t="n">
        <v>3</v>
      </c>
      <c r="U25" s="0" t="s">
        <v>85</v>
      </c>
      <c r="Z25" s="0" t="str">
        <f aca="false">HYPERLINK("http://lutemusic.org/composers/Anon/091_anon_when_she_came_in_she_bobbed.ft3")</f>
        <v>http://lutemusic.org/composers/Anon/091_anon_when_she_came_in_she_bobbed.ft3</v>
      </c>
      <c r="AA25" s="0" t="str">
        <f aca="false">HYPERLINK("http://lutemusic.org/composers/Anon/pdf/091_anon_when_she_came_in_she_bobbed.pdf")</f>
        <v>http://lutemusic.org/composers/Anon/pdf/091_anon_when_she_came_in_she_bobbed.pdf</v>
      </c>
      <c r="AB25" s="0" t="str">
        <f aca="false">HYPERLINK("http://lutemusic.org/composers/Anon/midi/091_anon_when_she_came_in_she_bobbed.mid")</f>
        <v>http://lutemusic.org/composers/Anon/midi/091_anon_when_she_came_in_she_bobbed.mid</v>
      </c>
      <c r="AC25" s="0" t="n">
        <v>1573937406</v>
      </c>
      <c r="AD25" s="0" t="n">
        <v>1586042060</v>
      </c>
    </row>
    <row r="26" customFormat="false" ht="12.8" hidden="false" customHeight="false" outlineLevel="0" collapsed="false">
      <c r="A26" s="0" t="s">
        <v>120</v>
      </c>
      <c r="C26" s="0" t="s">
        <v>79</v>
      </c>
      <c r="E26" s="0" t="s">
        <v>80</v>
      </c>
      <c r="F26" s="0" t="s">
        <v>81</v>
      </c>
      <c r="H26" s="0" t="n">
        <v>1690</v>
      </c>
      <c r="I26" s="0" t="s">
        <v>121</v>
      </c>
      <c r="J26" s="0" t="s">
        <v>36</v>
      </c>
      <c r="K26" s="0" t="s">
        <v>36</v>
      </c>
      <c r="P26" s="0" t="s">
        <v>120</v>
      </c>
      <c r="R26" s="0" t="s">
        <v>83</v>
      </c>
      <c r="S26" s="0" t="s">
        <v>49</v>
      </c>
      <c r="T26" s="0" t="n">
        <v>3</v>
      </c>
      <c r="U26" s="0" t="s">
        <v>85</v>
      </c>
      <c r="Z26" s="0" t="str">
        <f aca="false">HYPERLINK("http://lutemusic.org/composers/Anon/114_anon_my_nanny.ft3")</f>
        <v>http://lutemusic.org/composers/Anon/114_anon_my_nanny.ft3</v>
      </c>
      <c r="AA26" s="0" t="str">
        <f aca="false">HYPERLINK("http://lutemusic.org/composers/Anon/pdf/114_anon_my_nanny.pdf")</f>
        <v>http://lutemusic.org/composers/Anon/pdf/114_anon_my_nanny.pdf</v>
      </c>
      <c r="AB26" s="0" t="str">
        <f aca="false">HYPERLINK("http://lutemusic.org/composers/Anon/midi/114_anon_my_nanny.mid")</f>
        <v>http://lutemusic.org/composers/Anon/midi/114_anon_my_nanny.mid</v>
      </c>
      <c r="AC26" s="0" t="n">
        <v>1573937406</v>
      </c>
      <c r="AD26" s="0" t="n">
        <v>1586042060</v>
      </c>
    </row>
    <row r="27" customFormat="false" ht="12.8" hidden="false" customHeight="false" outlineLevel="0" collapsed="false">
      <c r="A27" s="0" t="s">
        <v>122</v>
      </c>
      <c r="C27" s="0" t="s">
        <v>79</v>
      </c>
      <c r="E27" s="0" t="s">
        <v>80</v>
      </c>
      <c r="F27" s="0" t="s">
        <v>81</v>
      </c>
      <c r="H27" s="0" t="n">
        <v>1690</v>
      </c>
      <c r="I27" s="0" t="s">
        <v>123</v>
      </c>
      <c r="J27" s="0" t="s">
        <v>36</v>
      </c>
      <c r="K27" s="0" t="s">
        <v>36</v>
      </c>
      <c r="P27" s="0" t="s">
        <v>122</v>
      </c>
      <c r="R27" s="0" t="s">
        <v>124</v>
      </c>
      <c r="S27" s="0" t="s">
        <v>38</v>
      </c>
      <c r="T27" s="0" t="n">
        <v>3</v>
      </c>
      <c r="U27" s="0" t="s">
        <v>85</v>
      </c>
      <c r="Z27" s="0" t="str">
        <f aca="false">HYPERLINK("http://lutemusic.org/composers/Anon/121_anon_canaries.ft3")</f>
        <v>http://lutemusic.org/composers/Anon/121_anon_canaries.ft3</v>
      </c>
      <c r="AA27" s="0" t="str">
        <f aca="false">HYPERLINK("http://lutemusic.org/composers/Anon/pdf/121_anon_canaries.pdf")</f>
        <v>http://lutemusic.org/composers/Anon/pdf/121_anon_canaries.pdf</v>
      </c>
      <c r="AB27" s="0" t="str">
        <f aca="false">HYPERLINK("http://lutemusic.org/composers/Anon/midi/121_anon_canaries.mid")</f>
        <v>http://lutemusic.org/composers/Anon/midi/121_anon_canaries.mid</v>
      </c>
      <c r="AC27" s="0" t="n">
        <v>1573937406</v>
      </c>
      <c r="AD27" s="0" t="n">
        <v>1586042060</v>
      </c>
    </row>
    <row r="28" customFormat="false" ht="12.8" hidden="false" customHeight="false" outlineLevel="0" collapsed="false">
      <c r="A28" s="0" t="s">
        <v>125</v>
      </c>
      <c r="C28" s="0" t="s">
        <v>94</v>
      </c>
      <c r="E28" s="0" t="s">
        <v>94</v>
      </c>
      <c r="F28" s="0" t="s">
        <v>106</v>
      </c>
      <c r="H28" s="0" t="n">
        <v>1530</v>
      </c>
      <c r="I28" s="0" t="s">
        <v>126</v>
      </c>
      <c r="J28" s="0" t="s">
        <v>36</v>
      </c>
      <c r="K28" s="0" t="s">
        <v>36</v>
      </c>
      <c r="P28" s="0" t="s">
        <v>125</v>
      </c>
      <c r="R28" s="0" t="s">
        <v>127</v>
      </c>
      <c r="S28" s="0" t="s">
        <v>66</v>
      </c>
      <c r="T28" s="0" t="n">
        <v>2</v>
      </c>
      <c r="U28" s="0" t="s">
        <v>63</v>
      </c>
      <c r="Z28" s="0" t="str">
        <f aca="false">HYPERLINK("http://lutemusic.org/composers/Anon/18_anon_haulberroys_1.ft3")</f>
        <v>http://lutemusic.org/composers/Anon/18_anon_haulberroys_1.ft3</v>
      </c>
      <c r="AA28" s="0" t="str">
        <f aca="false">HYPERLINK("http://lutemusic.org/composers/Anon/pdf/18_anon_haulberroys_1.pdf")</f>
        <v>http://lutemusic.org/composers/Anon/pdf/18_anon_haulberroys_1.pdf</v>
      </c>
      <c r="AB28" s="0" t="str">
        <f aca="false">HYPERLINK("http://lutemusic.org/composers/Anon/midi/18_anon_haulberroys_1.mid")</f>
        <v>http://lutemusic.org/composers/Anon/midi/18_anon_haulberroys_1.mid</v>
      </c>
      <c r="AC28" s="0" t="n">
        <v>1573937406</v>
      </c>
      <c r="AD28" s="0" t="n">
        <v>1593131615</v>
      </c>
    </row>
    <row r="29" customFormat="false" ht="12.8" hidden="false" customHeight="false" outlineLevel="0" collapsed="false">
      <c r="A29" s="0" t="s">
        <v>128</v>
      </c>
      <c r="C29" s="0" t="s">
        <v>94</v>
      </c>
      <c r="E29" s="0" t="s">
        <v>94</v>
      </c>
      <c r="F29" s="0" t="s">
        <v>106</v>
      </c>
      <c r="H29" s="0" t="n">
        <v>1530</v>
      </c>
      <c r="I29" s="0" t="s">
        <v>129</v>
      </c>
      <c r="J29" s="0" t="s">
        <v>36</v>
      </c>
      <c r="K29" s="0" t="s">
        <v>36</v>
      </c>
      <c r="P29" s="0" t="s">
        <v>128</v>
      </c>
      <c r="R29" s="0" t="s">
        <v>127</v>
      </c>
      <c r="S29" s="0" t="s">
        <v>38</v>
      </c>
      <c r="T29" s="0" t="n">
        <v>2</v>
      </c>
      <c r="U29" s="0" t="s">
        <v>63</v>
      </c>
      <c r="Z29" s="0" t="str">
        <f aca="false">HYPERLINK("http://lutemusic.org/composers/Anon/19_anon_haulberroys_2.ft3")</f>
        <v>http://lutemusic.org/composers/Anon/19_anon_haulberroys_2.ft3</v>
      </c>
      <c r="AA29" s="0" t="str">
        <f aca="false">HYPERLINK("http://lutemusic.org/composers/Anon/pdf/19_anon_haulberroys_2.pdf")</f>
        <v>http://lutemusic.org/composers/Anon/pdf/19_anon_haulberroys_2.pdf</v>
      </c>
      <c r="AB29" s="0" t="str">
        <f aca="false">HYPERLINK("http://lutemusic.org/composers/Anon/midi/19_anon_haulberroys_2.mid")</f>
        <v>http://lutemusic.org/composers/Anon/midi/19_anon_haulberroys_2.mid</v>
      </c>
      <c r="AC29" s="0" t="n">
        <v>1573937406</v>
      </c>
      <c r="AD29" s="0" t="n">
        <v>1593131615</v>
      </c>
    </row>
    <row r="30" customFormat="false" ht="12.8" hidden="false" customHeight="false" outlineLevel="0" collapsed="false">
      <c r="A30" s="0" t="s">
        <v>130</v>
      </c>
      <c r="C30" s="0" t="s">
        <v>79</v>
      </c>
      <c r="E30" s="0" t="s">
        <v>80</v>
      </c>
      <c r="F30" s="0" t="s">
        <v>81</v>
      </c>
      <c r="H30" s="0" t="n">
        <v>1690</v>
      </c>
      <c r="I30" s="0" t="s">
        <v>131</v>
      </c>
      <c r="J30" s="0" t="s">
        <v>36</v>
      </c>
      <c r="K30" s="0" t="s">
        <v>36</v>
      </c>
      <c r="P30" s="0" t="s">
        <v>130</v>
      </c>
      <c r="R30" s="0" t="s">
        <v>132</v>
      </c>
      <c r="S30" s="0" t="s">
        <v>62</v>
      </c>
      <c r="T30" s="0" t="n">
        <v>3</v>
      </c>
      <c r="U30" s="0" t="s">
        <v>85</v>
      </c>
      <c r="Z30" s="0" t="str">
        <f aca="false">HYPERLINK("http://lutemusic.org/composers/Anon/213_anon_devo_s_gigue.ft3")</f>
        <v>http://lutemusic.org/composers/Anon/213_anon_devo_s_gigue.ft3</v>
      </c>
      <c r="AA30" s="0" t="str">
        <f aca="false">HYPERLINK("http://lutemusic.org/composers/Anon/pdf/213_anon_devo_s_gigue.pdf")</f>
        <v>http://lutemusic.org/composers/Anon/pdf/213_anon_devo_s_gigue.pdf</v>
      </c>
      <c r="AB30" s="0" t="str">
        <f aca="false">HYPERLINK("http://lutemusic.org/composers/Anon/midi/213_anon_devo_s_gigue.mid")</f>
        <v>http://lutemusic.org/composers/Anon/midi/213_anon_devo_s_gigue.mid</v>
      </c>
      <c r="AC30" s="0" t="n">
        <v>1573937406</v>
      </c>
      <c r="AD30" s="0" t="n">
        <v>1586042060</v>
      </c>
    </row>
    <row r="31" customFormat="false" ht="12.8" hidden="false" customHeight="false" outlineLevel="0" collapsed="false">
      <c r="A31" s="0" t="s">
        <v>133</v>
      </c>
      <c r="C31" s="0" t="s">
        <v>79</v>
      </c>
      <c r="E31" s="0" t="s">
        <v>134</v>
      </c>
      <c r="F31" s="0" t="s">
        <v>135</v>
      </c>
      <c r="H31" s="0" t="n">
        <v>1575</v>
      </c>
      <c r="I31" s="0" t="s">
        <v>136</v>
      </c>
      <c r="J31" s="0" t="s">
        <v>36</v>
      </c>
      <c r="K31" s="0" t="s">
        <v>36</v>
      </c>
      <c r="P31" s="0" t="s">
        <v>133</v>
      </c>
      <c r="R31" s="0" t="s">
        <v>77</v>
      </c>
      <c r="S31" s="0" t="s">
        <v>119</v>
      </c>
      <c r="T31" s="0" t="n">
        <v>3</v>
      </c>
      <c r="U31" s="0" t="s">
        <v>63</v>
      </c>
      <c r="Y31" s="0" t="str">
        <f aca="false">HYPERLINK("http://lutemusic.org/facsimiles/D-B_Berlin_State_Library/mus_ms_40632_1575/50v.png")</f>
        <v>http://lutemusic.org/facsimiles/D-B_Berlin_State_Library/mus_ms_40632_1575/50v.png</v>
      </c>
      <c r="Z31" s="0" t="str">
        <f aca="false">HYPERLINK("http://lutemusic.org/composers/Anon/50v_anon_tristia.ft3")</f>
        <v>http://lutemusic.org/composers/Anon/50v_anon_tristia.ft3</v>
      </c>
      <c r="AA31" s="0" t="str">
        <f aca="false">HYPERLINK("http://lutemusic.org/composers/Anon/pdf/50v_anon_tristia.pdf")</f>
        <v>http://lutemusic.org/composers/Anon/pdf/50v_anon_tristia.pdf</v>
      </c>
      <c r="AB31" s="0" t="str">
        <f aca="false">HYPERLINK("http://lutemusic.org/composers/Anon/midi/50v_anon_tristia.mid")</f>
        <v>http://lutemusic.org/composers/Anon/midi/50v_anon_tristia.mid</v>
      </c>
      <c r="AC31" s="0" t="n">
        <v>1573937406</v>
      </c>
      <c r="AD31" s="0" t="n">
        <v>1586042060</v>
      </c>
    </row>
    <row r="32" customFormat="false" ht="12.8" hidden="false" customHeight="false" outlineLevel="0" collapsed="false">
      <c r="A32" s="0" t="s">
        <v>137</v>
      </c>
      <c r="C32" s="0" t="s">
        <v>79</v>
      </c>
      <c r="E32" s="0" t="s">
        <v>74</v>
      </c>
      <c r="F32" s="0" t="s">
        <v>138</v>
      </c>
      <c r="H32" s="0" t="n">
        <v>1595</v>
      </c>
      <c r="I32" s="0" t="s">
        <v>139</v>
      </c>
      <c r="J32" s="0" t="s">
        <v>36</v>
      </c>
      <c r="K32" s="0" t="s">
        <v>36</v>
      </c>
      <c r="P32" s="0" t="s">
        <v>137</v>
      </c>
      <c r="R32" s="0" t="s">
        <v>77</v>
      </c>
      <c r="S32" s="0" t="s">
        <v>84</v>
      </c>
      <c r="T32" s="0" t="n">
        <v>3</v>
      </c>
      <c r="U32" s="0" t="s">
        <v>63</v>
      </c>
      <c r="Y32" s="0" t="str">
        <f aca="false">HYPERLINK("http://lutemusic.org/facsimiles/GB-Cu_Cambridge_University_Library/ms_add_3056_Cosens_lute_book_1595/01.png")</f>
        <v>http://lutemusic.org/facsimiles/GB-Cu_Cambridge_University_Library/ms_add_3056_Cosens_lute_book_1595/01.png</v>
      </c>
      <c r="Z32" s="0" t="str">
        <f aca="false">HYPERLINK("http://lutemusic.org/composers/Anon/addison.ft3")</f>
        <v>http://lutemusic.org/composers/Anon/addison.ft3</v>
      </c>
      <c r="AA32" s="0" t="str">
        <f aca="false">HYPERLINK("http://lutemusic.org/composers/Anon/pdf/addison.pdf")</f>
        <v>http://lutemusic.org/composers/Anon/pdf/addison.pdf</v>
      </c>
      <c r="AB32" s="0" t="str">
        <f aca="false">HYPERLINK("http://lutemusic.org/composers/Anon/midi/addison.mid")</f>
        <v>http://lutemusic.org/composers/Anon/midi/addison.mid</v>
      </c>
      <c r="AC32" s="0" t="n">
        <v>1573937406</v>
      </c>
      <c r="AD32" s="0" t="n">
        <v>1588630195</v>
      </c>
    </row>
    <row r="33" customFormat="false" ht="12.8" hidden="false" customHeight="false" outlineLevel="0" collapsed="false">
      <c r="A33" s="0" t="s">
        <v>140</v>
      </c>
      <c r="C33" s="0" t="s">
        <v>79</v>
      </c>
      <c r="E33" s="0" t="s">
        <v>74</v>
      </c>
      <c r="F33" s="0" t="s">
        <v>141</v>
      </c>
      <c r="H33" s="0" t="n">
        <v>1600</v>
      </c>
      <c r="I33" s="0" t="s">
        <v>142</v>
      </c>
      <c r="J33" s="0" t="s">
        <v>36</v>
      </c>
      <c r="K33" s="0" t="s">
        <v>36</v>
      </c>
      <c r="P33" s="0" t="s">
        <v>140</v>
      </c>
      <c r="R33" s="0" t="s">
        <v>83</v>
      </c>
      <c r="S33" s="0" t="s">
        <v>62</v>
      </c>
      <c r="T33" s="0" t="n">
        <v>3</v>
      </c>
      <c r="U33" s="0" t="s">
        <v>143</v>
      </c>
      <c r="Y33" s="0" t="str">
        <f aca="false">HYPERLINK("http://lutemusic.org/facsimiles/GB-Cu_Cambridge_University_Library/Dd.5.78.3_1600/49.png")</f>
        <v>http://lutemusic.org/facsimiles/GB-Cu_Cambridge_University_Library/Dd.5.78.3_1600/49.png</v>
      </c>
      <c r="Z33" s="0" t="str">
        <f aca="false">HYPERLINK("http://lutemusic.org/composers/Anon/anon_jewell.ft3")</f>
        <v>http://lutemusic.org/composers/Anon/anon_jewell.ft3</v>
      </c>
      <c r="AA33" s="0" t="str">
        <f aca="false">HYPERLINK("http://lutemusic.org/composers/Anon/pdf/anon_jewell.pdf")</f>
        <v>http://lutemusic.org/composers/Anon/pdf/anon_jewell.pdf</v>
      </c>
      <c r="AB33" s="0" t="str">
        <f aca="false">HYPERLINK("http://lutemusic.org/composers/Anon/midi/anon_jewell.mid")</f>
        <v>http://lutemusic.org/composers/Anon/midi/anon_jewell.mid</v>
      </c>
      <c r="AC33" s="0" t="n">
        <v>1573937406</v>
      </c>
      <c r="AD33" s="0" t="n">
        <v>1586042060</v>
      </c>
    </row>
    <row r="34" customFormat="false" ht="12.8" hidden="false" customHeight="false" outlineLevel="0" collapsed="false">
      <c r="A34" s="0" t="s">
        <v>144</v>
      </c>
      <c r="C34" s="0" t="s">
        <v>79</v>
      </c>
      <c r="E34" s="0" t="s">
        <v>74</v>
      </c>
      <c r="F34" s="0" t="s">
        <v>141</v>
      </c>
      <c r="H34" s="0" t="n">
        <v>1600</v>
      </c>
      <c r="I34" s="0" t="s">
        <v>145</v>
      </c>
      <c r="J34" s="0" t="s">
        <v>36</v>
      </c>
      <c r="K34" s="0" t="s">
        <v>36</v>
      </c>
      <c r="P34" s="0" t="s">
        <v>144</v>
      </c>
      <c r="R34" s="0" t="s">
        <v>146</v>
      </c>
      <c r="S34" s="0" t="s">
        <v>119</v>
      </c>
      <c r="T34" s="0" t="n">
        <v>3</v>
      </c>
      <c r="U34" s="0" t="s">
        <v>63</v>
      </c>
      <c r="Y34" s="0" t="str">
        <f aca="false">HYPERLINK("http://lutemusic.org/facsimiles/GB-Cu_Cambridge_University_Library/Dd.5.78.3_1600/39.png")</f>
        <v>http://lutemusic.org/facsimiles/GB-Cu_Cambridge_University_Library/Dd.5.78.3_1600/39.png</v>
      </c>
      <c r="Z34" s="0" t="str">
        <f aca="false">HYPERLINK("http://lutemusic.org/composers/Anon/anon_the_sick_tune.ft3")</f>
        <v>http://lutemusic.org/composers/Anon/anon_the_sick_tune.ft3</v>
      </c>
      <c r="AA34" s="0" t="str">
        <f aca="false">HYPERLINK("http://lutemusic.org/composers/Anon/pdf/anon_the_sick_tune.pdf")</f>
        <v>http://lutemusic.org/composers/Anon/pdf/anon_the_sick_tune.pdf</v>
      </c>
      <c r="AB34" s="0" t="str">
        <f aca="false">HYPERLINK("http://lutemusic.org/composers/Anon/midi/anon_the_sick_tune.mid")</f>
        <v>http://lutemusic.org/composers/Anon/midi/anon_the_sick_tune.mid</v>
      </c>
      <c r="AC34" s="0" t="n">
        <v>1573937406</v>
      </c>
      <c r="AD34" s="0" t="n">
        <v>1586042060</v>
      </c>
    </row>
    <row r="35" customFormat="false" ht="12.8" hidden="false" customHeight="false" outlineLevel="0" collapsed="false">
      <c r="A35" s="0" t="s">
        <v>147</v>
      </c>
      <c r="C35" s="0" t="s">
        <v>79</v>
      </c>
      <c r="E35" s="0" t="s">
        <v>33</v>
      </c>
      <c r="F35" s="0" t="s">
        <v>148</v>
      </c>
      <c r="H35" s="0" t="s">
        <v>149</v>
      </c>
      <c r="I35" s="0" t="s">
        <v>150</v>
      </c>
      <c r="J35" s="0" t="s">
        <v>36</v>
      </c>
      <c r="K35" s="0" t="s">
        <v>36</v>
      </c>
      <c r="P35" s="0" t="s">
        <v>147</v>
      </c>
      <c r="R35" s="0" t="s">
        <v>151</v>
      </c>
      <c r="S35" s="0" t="s">
        <v>152</v>
      </c>
      <c r="T35" s="0" t="n">
        <v>4</v>
      </c>
      <c r="U35" s="0" t="s">
        <v>63</v>
      </c>
      <c r="Y35" s="0" t="str">
        <f aca="false">HYPERLINK("http://lutemusic.org/facsimiles/GB-Lbl_British_Library/ms_M1353_Hirsch_lute_book_c.1595/64v.png")</f>
        <v>http://lutemusic.org/facsimiles/GB-Lbl_British_Library/ms_M1353_Hirsch_lute_book_c.1595/64v.png</v>
      </c>
      <c r="Z35" s="0" t="str">
        <f aca="false">HYPERLINK("http://lutemusic.org/composers/Anon/anon_ut_re_mi_fa_sol_la.ft3")</f>
        <v>http://lutemusic.org/composers/Anon/anon_ut_re_mi_fa_sol_la.ft3</v>
      </c>
      <c r="AA35" s="0" t="str">
        <f aca="false">HYPERLINK("http://lutemusic.org/composers/Anon/pdf/anon_ut_re_mi_fa_sol_la.pdf")</f>
        <v>http://lutemusic.org/composers/Anon/pdf/anon_ut_re_mi_fa_sol_la.pdf</v>
      </c>
      <c r="AB35" s="0" t="str">
        <f aca="false">HYPERLINK("http://lutemusic.org/composers/Anon/midi/anon_ut_re_mi_fa_sol_la.mid")</f>
        <v>http://lutemusic.org/composers/Anon/midi/anon_ut_re_mi_fa_sol_la.mid</v>
      </c>
      <c r="AC35" s="0" t="n">
        <v>1573937406</v>
      </c>
      <c r="AD35" s="0" t="n">
        <v>1588630195</v>
      </c>
    </row>
    <row r="36" customFormat="false" ht="12.8" hidden="false" customHeight="false" outlineLevel="0" collapsed="false">
      <c r="A36" s="0" t="s">
        <v>153</v>
      </c>
      <c r="C36" s="0" t="s">
        <v>79</v>
      </c>
      <c r="E36" s="0" t="s">
        <v>154</v>
      </c>
      <c r="F36" s="0" t="s">
        <v>155</v>
      </c>
      <c r="H36" s="0" t="n">
        <v>1600</v>
      </c>
      <c r="I36" s="0" t="s">
        <v>156</v>
      </c>
      <c r="J36" s="0" t="s">
        <v>36</v>
      </c>
      <c r="K36" s="0" t="s">
        <v>36</v>
      </c>
      <c r="P36" s="0" t="s">
        <v>153</v>
      </c>
      <c r="R36" s="0" t="s">
        <v>157</v>
      </c>
      <c r="S36" s="0" t="s">
        <v>152</v>
      </c>
      <c r="T36" s="0" t="n">
        <v>3</v>
      </c>
      <c r="U36" s="0" t="s">
        <v>63</v>
      </c>
      <c r="Z36" s="0" t="str">
        <f aca="false">HYPERLINK("http://lutemusic.org/composers/Anon/a_downe.ft3")</f>
        <v>http://lutemusic.org/composers/Anon/a_downe.ft3</v>
      </c>
      <c r="AA36" s="0" t="str">
        <f aca="false">HYPERLINK("http://lutemusic.org/composers/Anon/pdf/a_downe.pdf")</f>
        <v>http://lutemusic.org/composers/Anon/pdf/a_downe.pdf</v>
      </c>
      <c r="AB36" s="0" t="str">
        <f aca="false">HYPERLINK("http://lutemusic.org/composers/Anon/midi/a_downe.mid")</f>
        <v>http://lutemusic.org/composers/Anon/midi/a_downe.mid</v>
      </c>
      <c r="AC36" s="0" t="n">
        <v>1573937406</v>
      </c>
      <c r="AD36" s="0" t="n">
        <v>1586042060</v>
      </c>
    </row>
    <row r="37" customFormat="false" ht="12.8" hidden="false" customHeight="false" outlineLevel="0" collapsed="false">
      <c r="A37" s="0" t="s">
        <v>158</v>
      </c>
      <c r="C37" s="0" t="s">
        <v>79</v>
      </c>
      <c r="E37" s="0" t="s">
        <v>74</v>
      </c>
      <c r="F37" s="0" t="s">
        <v>159</v>
      </c>
      <c r="H37" s="0" t="n">
        <v>1600</v>
      </c>
      <c r="I37" s="0" t="s">
        <v>160</v>
      </c>
      <c r="J37" s="0" t="s">
        <v>36</v>
      </c>
      <c r="K37" s="0" t="s">
        <v>36</v>
      </c>
      <c r="P37" s="0" t="s">
        <v>158</v>
      </c>
      <c r="R37" s="0" t="s">
        <v>83</v>
      </c>
      <c r="S37" s="0" t="s">
        <v>66</v>
      </c>
      <c r="T37" s="0" t="n">
        <v>3</v>
      </c>
      <c r="U37" s="0" t="s">
        <v>63</v>
      </c>
      <c r="Y37" s="0" t="str">
        <f aca="false">HYPERLINK("http://lutemusic.org/facsimiles/GB-Cu_Cambridge_University_Library/Dd.2.11b_1600/066.png")</f>
        <v>http://lutemusic.org/facsimiles/GB-Cu_Cambridge_University_Library/Dd.2.11b_1600/066.png</v>
      </c>
      <c r="Z37" s="0" t="str">
        <f aca="false">HYPERLINK("http://lutemusic.org/composers/Anon/bonny_sweet_boy.ft3")</f>
        <v>http://lutemusic.org/composers/Anon/bonny_sweet_boy.ft3</v>
      </c>
      <c r="AA37" s="0" t="str">
        <f aca="false">HYPERLINK("http://lutemusic.org/composers/Anon/pdf/bonny_sweet_boy.pdf")</f>
        <v>http://lutemusic.org/composers/Anon/pdf/bonny_sweet_boy.pdf</v>
      </c>
      <c r="AB37" s="0" t="str">
        <f aca="false">HYPERLINK("http://lutemusic.org/composers/Anon/midi/bonny_sweet_boy.mid")</f>
        <v>http://lutemusic.org/composers/Anon/midi/bonny_sweet_boy.mid</v>
      </c>
      <c r="AC37" s="0" t="n">
        <v>1573937406</v>
      </c>
      <c r="AD37" s="0" t="n">
        <v>1586042060</v>
      </c>
    </row>
    <row r="38" customFormat="false" ht="12.8" hidden="false" customHeight="false" outlineLevel="0" collapsed="false">
      <c r="A38" s="0" t="s">
        <v>158</v>
      </c>
      <c r="C38" s="0" t="s">
        <v>79</v>
      </c>
      <c r="E38" s="0" t="s">
        <v>161</v>
      </c>
      <c r="F38" s="0" t="s">
        <v>162</v>
      </c>
      <c r="H38" s="0" t="n">
        <v>1603</v>
      </c>
      <c r="I38" s="0" t="s">
        <v>163</v>
      </c>
      <c r="J38" s="0" t="s">
        <v>36</v>
      </c>
      <c r="K38" s="0" t="s">
        <v>36</v>
      </c>
      <c r="P38" s="0" t="s">
        <v>158</v>
      </c>
      <c r="R38" s="0" t="s">
        <v>83</v>
      </c>
      <c r="S38" s="0" t="s">
        <v>66</v>
      </c>
      <c r="T38" s="0" t="n">
        <v>3</v>
      </c>
      <c r="U38" s="0" t="s">
        <v>53</v>
      </c>
      <c r="Y38" s="0" t="str">
        <f aca="false">HYPERLINK("http://lutemusic.org/facsimiles/RobinsonT/Schoole_of_Musicke_1603/m2.png")</f>
        <v>http://lutemusic.org/facsimiles/RobinsonT/Schoole_of_Musicke_1603/m2.png</v>
      </c>
      <c r="Z38" s="0" t="str">
        <f aca="false">HYPERLINK("http://lutemusic.org/composers/Anon/bonny_sweet_boy_2.ft3")</f>
        <v>http://lutemusic.org/composers/Anon/bonny_sweet_boy_2.ft3</v>
      </c>
      <c r="AA38" s="0" t="str">
        <f aca="false">HYPERLINK("http://lutemusic.org/composers/Anon/pdf/bonny_sweet_boy_2.pdf")</f>
        <v>http://lutemusic.org/composers/Anon/pdf/bonny_sweet_boy_2.pdf</v>
      </c>
      <c r="AB38" s="0" t="str">
        <f aca="false">HYPERLINK("http://lutemusic.org/composers/Anon/midi/bonny_sweet_boy_2.mid")</f>
        <v>http://lutemusic.org/composers/Anon/midi/bonny_sweet_boy_2.mid</v>
      </c>
      <c r="AC38" s="0" t="n">
        <v>1573937406</v>
      </c>
      <c r="AD38" s="0" t="n">
        <v>1586219730</v>
      </c>
    </row>
    <row r="39" customFormat="false" ht="12.8" hidden="false" customHeight="false" outlineLevel="0" collapsed="false">
      <c r="A39" s="0" t="s">
        <v>164</v>
      </c>
      <c r="C39" s="0" t="s">
        <v>79</v>
      </c>
      <c r="E39" s="0" t="s">
        <v>165</v>
      </c>
      <c r="F39" s="0" t="s">
        <v>166</v>
      </c>
      <c r="H39" s="0" t="n">
        <v>1610</v>
      </c>
      <c r="I39" s="0" t="s">
        <v>167</v>
      </c>
      <c r="J39" s="0" t="s">
        <v>168</v>
      </c>
      <c r="K39" s="0" t="s">
        <v>36</v>
      </c>
      <c r="M39" s="0" t="s">
        <v>168</v>
      </c>
      <c r="P39" s="0" t="s">
        <v>164</v>
      </c>
      <c r="R39" s="0" t="s">
        <v>169</v>
      </c>
      <c r="S39" s="0" t="s">
        <v>49</v>
      </c>
      <c r="T39" s="0" t="n">
        <v>3</v>
      </c>
      <c r="U39" s="0" t="s">
        <v>53</v>
      </c>
      <c r="Z39" s="0" t="str">
        <f aca="false">HYPERLINK("http://lutemusic.org/composers/Anon/bpk_in_polen.ft3")</f>
        <v>http://lutemusic.org/composers/Anon/bpk_in_polen.ft3</v>
      </c>
      <c r="AA39" s="0" t="str">
        <f aca="false">HYPERLINK("http://lutemusic.org/composers/Anon/pdf/bpk_in_polen.pdf")</f>
        <v>http://lutemusic.org/composers/Anon/pdf/bpk_in_polen.pdf</v>
      </c>
      <c r="AB39" s="0" t="str">
        <f aca="false">HYPERLINK("http://lutemusic.org/composers/Anon/midi/bpk_in_polen.mid")</f>
        <v>http://lutemusic.org/composers/Anon/midi/bpk_in_polen.mid</v>
      </c>
      <c r="AC39" s="0" t="n">
        <v>1573937406</v>
      </c>
      <c r="AD39" s="0" t="n">
        <v>1588630195</v>
      </c>
    </row>
    <row r="40" customFormat="false" ht="12.8" hidden="false" customHeight="false" outlineLevel="0" collapsed="false">
      <c r="A40" s="0" t="s">
        <v>170</v>
      </c>
      <c r="C40" s="0" t="s">
        <v>79</v>
      </c>
      <c r="E40" s="0" t="s">
        <v>171</v>
      </c>
      <c r="F40" s="0" t="s">
        <v>172</v>
      </c>
      <c r="H40" s="0" t="n">
        <v>1612</v>
      </c>
      <c r="I40" s="0" t="s">
        <v>173</v>
      </c>
      <c r="J40" s="0" t="s">
        <v>36</v>
      </c>
      <c r="K40" s="0" t="s">
        <v>36</v>
      </c>
      <c r="P40" s="0" t="s">
        <v>170</v>
      </c>
      <c r="R40" s="0" t="s">
        <v>174</v>
      </c>
      <c r="S40" s="0" t="s">
        <v>175</v>
      </c>
      <c r="T40" s="0" t="n">
        <v>3</v>
      </c>
      <c r="U40" s="0" t="s">
        <v>63</v>
      </c>
      <c r="Y40" s="0" t="str">
        <f aca="false">HYPERLINK("http://lutemusic.org/facsimiles/HoveJ/Delitiae_musicae_1612/62.png")</f>
        <v>http://lutemusic.org/facsimiles/HoveJ/Delitiae_musicae_1612/62.png</v>
      </c>
      <c r="Z40" s="0" t="str">
        <f aca="false">HYPERLINK("http://lutemusic.org/composers/Anon/brande_joctomdeyne.ft3")</f>
        <v>http://lutemusic.org/composers/Anon/brande_joctomdeyne.ft3</v>
      </c>
      <c r="AA40" s="0" t="str">
        <f aca="false">HYPERLINK("http://lutemusic.org/composers/Anon/pdf/brande_joctomdeyne.pdf")</f>
        <v>http://lutemusic.org/composers/Anon/pdf/brande_joctomdeyne.pdf</v>
      </c>
      <c r="AB40" s="0" t="str">
        <f aca="false">HYPERLINK("http://lutemusic.org/composers/Anon/midi/brande_joctomdeyne.mid")</f>
        <v>http://lutemusic.org/composers/Anon/midi/brande_joctomdeyne.mid</v>
      </c>
      <c r="AC40" s="0" t="n">
        <v>1573937406</v>
      </c>
      <c r="AD40" s="0" t="n">
        <v>1586042060</v>
      </c>
    </row>
    <row r="41" customFormat="false" ht="12.8" hidden="false" customHeight="false" outlineLevel="0" collapsed="false">
      <c r="A41" s="0" t="s">
        <v>176</v>
      </c>
      <c r="C41" s="0" t="s">
        <v>79</v>
      </c>
      <c r="E41" s="0" t="s">
        <v>171</v>
      </c>
      <c r="F41" s="0" t="s">
        <v>177</v>
      </c>
      <c r="H41" s="0" t="n">
        <v>1612</v>
      </c>
      <c r="I41" s="0" t="s">
        <v>178</v>
      </c>
      <c r="J41" s="0" t="s">
        <v>36</v>
      </c>
      <c r="K41" s="0" t="s">
        <v>36</v>
      </c>
      <c r="P41" s="0" t="s">
        <v>176</v>
      </c>
      <c r="R41" s="0" t="s">
        <v>124</v>
      </c>
      <c r="S41" s="0" t="s">
        <v>38</v>
      </c>
      <c r="T41" s="0" t="n">
        <v>2</v>
      </c>
      <c r="U41" s="0" t="s">
        <v>63</v>
      </c>
      <c r="Y41" s="0" t="str">
        <f aca="false">HYPERLINK("http://lutemusic.org/facsimiles/HoveJ/Delitiae_Musicae_1612/66.png")</f>
        <v>http://lutemusic.org/facsimiles/HoveJ/Delitiae_Musicae_1612/66.png</v>
      </c>
      <c r="Z41" s="0" t="str">
        <f aca="false">HYPERLINK("http://lutemusic.org/composers/Anon/canarie.ft3")</f>
        <v>http://lutemusic.org/composers/Anon/canarie.ft3</v>
      </c>
      <c r="AA41" s="0" t="str">
        <f aca="false">HYPERLINK("http://lutemusic.org/composers/Anon/pdf/canarie.pdf")</f>
        <v>http://lutemusic.org/composers/Anon/pdf/canarie.pdf</v>
      </c>
      <c r="AB41" s="0" t="str">
        <f aca="false">HYPERLINK("http://lutemusic.org/composers/Anon/midi/canarie.mid")</f>
        <v>http://lutemusic.org/composers/Anon/midi/canarie.mid</v>
      </c>
      <c r="AC41" s="0" t="n">
        <v>1573937406</v>
      </c>
      <c r="AD41" s="0" t="n">
        <v>1586042060</v>
      </c>
    </row>
    <row r="42" customFormat="false" ht="12.8" hidden="false" customHeight="false" outlineLevel="0" collapsed="false">
      <c r="A42" s="0" t="s">
        <v>179</v>
      </c>
      <c r="C42" s="0" t="s">
        <v>79</v>
      </c>
      <c r="E42" s="0" t="s">
        <v>154</v>
      </c>
      <c r="F42" s="0" t="s">
        <v>69</v>
      </c>
      <c r="H42" s="0" t="n">
        <v>1610</v>
      </c>
      <c r="I42" s="0" t="s">
        <v>180</v>
      </c>
      <c r="J42" s="0" t="s">
        <v>36</v>
      </c>
      <c r="K42" s="0" t="s">
        <v>36</v>
      </c>
      <c r="P42" s="0" t="s">
        <v>179</v>
      </c>
      <c r="R42" s="0" t="s">
        <v>181</v>
      </c>
      <c r="S42" s="0" t="s">
        <v>49</v>
      </c>
      <c r="T42" s="0" t="n">
        <v>2</v>
      </c>
      <c r="U42" s="0" t="s">
        <v>53</v>
      </c>
      <c r="Z42" s="0" t="str">
        <f aca="false">HYPERLINK("http://lutemusic.org/composers/Anon/coranto.ft3")</f>
        <v>http://lutemusic.org/composers/Anon/coranto.ft3</v>
      </c>
      <c r="AA42" s="0" t="str">
        <f aca="false">HYPERLINK("http://lutemusic.org/composers/Anon/pdf/coranto.pdf")</f>
        <v>http://lutemusic.org/composers/Anon/pdf/coranto.pdf</v>
      </c>
      <c r="AB42" s="0" t="str">
        <f aca="false">HYPERLINK("http://lutemusic.org/composers/Anon/midi/coranto.mid")</f>
        <v>http://lutemusic.org/composers/Anon/midi/coranto.mid</v>
      </c>
      <c r="AC42" s="0" t="n">
        <v>1573937406</v>
      </c>
      <c r="AD42" s="0" t="n">
        <v>1586042060</v>
      </c>
    </row>
    <row r="43" customFormat="false" ht="12.8" hidden="false" customHeight="false" outlineLevel="0" collapsed="false">
      <c r="A43" s="0" t="s">
        <v>182</v>
      </c>
      <c r="C43" s="0" t="s">
        <v>79</v>
      </c>
      <c r="E43" s="0" t="s">
        <v>74</v>
      </c>
      <c r="F43" s="0" t="s">
        <v>159</v>
      </c>
      <c r="H43" s="0" t="n">
        <v>1600</v>
      </c>
      <c r="I43" s="0" t="s">
        <v>183</v>
      </c>
      <c r="J43" s="0" t="s">
        <v>36</v>
      </c>
      <c r="K43" s="0" t="s">
        <v>36</v>
      </c>
      <c r="P43" s="0" t="s">
        <v>182</v>
      </c>
      <c r="R43" s="0" t="s">
        <v>83</v>
      </c>
      <c r="S43" s="0" t="s">
        <v>152</v>
      </c>
      <c r="T43" s="0" t="n">
        <v>3</v>
      </c>
      <c r="U43" s="0" t="s">
        <v>63</v>
      </c>
      <c r="Y43" s="0" t="str">
        <f aca="false">HYPERLINK("http://lutemusic.org/facsimiles/GB-Cu_Cambridge_University_Library/Dd.2.11b_1600/008.png")</f>
        <v>http://lutemusic.org/facsimiles/GB-Cu_Cambridge_University_Library/Dd.2.11b_1600/008.png</v>
      </c>
      <c r="Z43" s="0" t="str">
        <f aca="false">HYPERLINK("http://lutemusic.org/composers/Anon/dargesson.ft3")</f>
        <v>http://lutemusic.org/composers/Anon/dargesson.ft3</v>
      </c>
      <c r="AA43" s="0" t="str">
        <f aca="false">HYPERLINK("http://lutemusic.org/composers/Anon/pdf/dargesson.pdf")</f>
        <v>http://lutemusic.org/composers/Anon/pdf/dargesson.pdf</v>
      </c>
      <c r="AB43" s="0" t="str">
        <f aca="false">HYPERLINK("http://lutemusic.org/composers/Anon/midi/dargesson.mid")</f>
        <v>http://lutemusic.org/composers/Anon/midi/dargesson.mid</v>
      </c>
      <c r="AC43" s="0" t="n">
        <v>1573937406</v>
      </c>
      <c r="AD43" s="0" t="n">
        <v>1586042060</v>
      </c>
    </row>
    <row r="44" customFormat="false" ht="12.8" hidden="false" customHeight="false" outlineLevel="0" collapsed="false">
      <c r="A44" s="0" t="s">
        <v>184</v>
      </c>
      <c r="C44" s="0" t="s">
        <v>79</v>
      </c>
      <c r="E44" s="0" t="s">
        <v>185</v>
      </c>
      <c r="F44" s="0" t="s">
        <v>186</v>
      </c>
      <c r="H44" s="0" t="n">
        <v>1625</v>
      </c>
      <c r="I44" s="0" t="s">
        <v>187</v>
      </c>
      <c r="J44" s="0" t="s">
        <v>36</v>
      </c>
      <c r="K44" s="0" t="s">
        <v>36</v>
      </c>
      <c r="P44" s="0" t="s">
        <v>184</v>
      </c>
      <c r="R44" s="0" t="s">
        <v>77</v>
      </c>
      <c r="S44" s="0" t="s">
        <v>66</v>
      </c>
      <c r="T44" s="0" t="n">
        <v>3</v>
      </c>
      <c r="U44" s="0" t="s">
        <v>63</v>
      </c>
      <c r="Y44" s="0" t="str">
        <f aca="false">HYPERLINK("http://lutemusic.org/facsimiles/GB-Lspencer_Private_Library_of_Robert_Spencer/Margaret_Board_lute_book_1625/01v.png")</f>
        <v>http://lutemusic.org/facsimiles/GB-Lspencer_Private_Library_of_Robert_Spencer/Margaret_Board_lute_book_1625/01v.png</v>
      </c>
      <c r="Z44" s="0" t="str">
        <f aca="false">HYPERLINK("http://lutemusic.org/composers/Anon/delacourt.ft3")</f>
        <v>http://lutemusic.org/composers/Anon/delacourt.ft3</v>
      </c>
      <c r="AA44" s="0" t="str">
        <f aca="false">HYPERLINK("http://lutemusic.org/composers/Anon/pdf/delacourt.pdf")</f>
        <v>http://lutemusic.org/composers/Anon/pdf/delacourt.pdf</v>
      </c>
      <c r="AB44" s="0" t="str">
        <f aca="false">HYPERLINK("http://lutemusic.org/composers/Anon/midi/delacourt.mid")</f>
        <v>http://lutemusic.org/composers/Anon/midi/delacourt.mid</v>
      </c>
      <c r="AC44" s="0" t="n">
        <v>1573937406</v>
      </c>
      <c r="AD44" s="0" t="n">
        <v>1588468777</v>
      </c>
    </row>
    <row r="45" customFormat="false" ht="12.8" hidden="false" customHeight="false" outlineLevel="0" collapsed="false">
      <c r="A45" s="0" t="s">
        <v>188</v>
      </c>
      <c r="C45" s="0" t="s">
        <v>79</v>
      </c>
      <c r="E45" s="0" t="s">
        <v>154</v>
      </c>
      <c r="F45" s="0" t="s">
        <v>69</v>
      </c>
      <c r="H45" s="0" t="n">
        <v>1545</v>
      </c>
      <c r="I45" s="0" t="s">
        <v>189</v>
      </c>
      <c r="J45" s="0" t="s">
        <v>36</v>
      </c>
      <c r="K45" s="0" t="s">
        <v>36</v>
      </c>
      <c r="P45" s="0" t="s">
        <v>188</v>
      </c>
      <c r="R45" s="0" t="s">
        <v>83</v>
      </c>
      <c r="S45" s="0" t="s">
        <v>119</v>
      </c>
      <c r="T45" s="0" t="n">
        <v>3</v>
      </c>
      <c r="U45" s="0" t="s">
        <v>143</v>
      </c>
      <c r="Z45" s="0" t="str">
        <f aca="false">HYPERLINK("http://lutemusic.org/composers/Anon/depairte_depairte.ft3")</f>
        <v>http://lutemusic.org/composers/Anon/depairte_depairte.ft3</v>
      </c>
      <c r="AA45" s="0" t="str">
        <f aca="false">HYPERLINK("http://lutemusic.org/composers/Anon/pdf/depairte_depairte.pdf")</f>
        <v>http://lutemusic.org/composers/Anon/pdf/depairte_depairte.pdf</v>
      </c>
      <c r="AB45" s="0" t="str">
        <f aca="false">HYPERLINK("http://lutemusic.org/composers/Anon/midi/depairte_depairte.mid")</f>
        <v>http://lutemusic.org/composers/Anon/midi/depairte_depairte.mid</v>
      </c>
      <c r="AC45" s="0" t="n">
        <v>1573937406</v>
      </c>
      <c r="AD45" s="0" t="n">
        <v>1590368098</v>
      </c>
    </row>
    <row r="46" customFormat="false" ht="12.8" hidden="false" customHeight="false" outlineLevel="0" collapsed="false">
      <c r="A46" s="0" t="s">
        <v>190</v>
      </c>
      <c r="C46" s="0" t="s">
        <v>79</v>
      </c>
      <c r="E46" s="0" t="s">
        <v>33</v>
      </c>
      <c r="F46" s="0" t="s">
        <v>191</v>
      </c>
      <c r="H46" s="0" t="n">
        <v>1616</v>
      </c>
      <c r="I46" s="0" t="s">
        <v>192</v>
      </c>
      <c r="J46" s="0" t="s">
        <v>36</v>
      </c>
      <c r="K46" s="0" t="s">
        <v>36</v>
      </c>
      <c r="P46" s="0" t="s">
        <v>190</v>
      </c>
      <c r="R46" s="0" t="s">
        <v>83</v>
      </c>
      <c r="S46" s="0" t="s">
        <v>49</v>
      </c>
      <c r="T46" s="0" t="n">
        <v>2</v>
      </c>
      <c r="U46" s="0" t="s">
        <v>63</v>
      </c>
      <c r="Y46" s="0" t="str">
        <f aca="false">HYPERLINK("http://lutemusic.org/facsimiles/GB-Lbl_British_Library/ms_Eg._2046_Pickering_lute_book_1616/28.png")</f>
        <v>http://lutemusic.org/facsimiles/GB-Lbl_British_Library/ms_Eg._2046_Pickering_lute_book_1616/28.png</v>
      </c>
      <c r="Z46" s="0" t="str">
        <f aca="false">HYPERLINK("http://lutemusic.org/composers/Anon/drawe_neare.ft3")</f>
        <v>http://lutemusic.org/composers/Anon/drawe_neare.ft3</v>
      </c>
      <c r="AA46" s="0" t="str">
        <f aca="false">HYPERLINK("http://lutemusic.org/composers/Anon/pdf/drawe_neare.pdf")</f>
        <v>http://lutemusic.org/composers/Anon/pdf/drawe_neare.pdf</v>
      </c>
      <c r="AB46" s="0" t="str">
        <f aca="false">HYPERLINK("http://lutemusic.org/composers/Anon/midi/drawe_neare.mid")</f>
        <v>http://lutemusic.org/composers/Anon/midi/drawe_neare.mid</v>
      </c>
      <c r="AC46" s="0" t="n">
        <v>1573937406</v>
      </c>
      <c r="AD46" s="0" t="n">
        <v>1588630195</v>
      </c>
    </row>
    <row r="47" customFormat="false" ht="12.8" hidden="false" customHeight="false" outlineLevel="0" collapsed="false">
      <c r="A47" s="0" t="s">
        <v>193</v>
      </c>
      <c r="C47" s="0" t="s">
        <v>79</v>
      </c>
      <c r="E47" s="0" t="s">
        <v>185</v>
      </c>
      <c r="F47" s="0" t="s">
        <v>186</v>
      </c>
      <c r="H47" s="0" t="n">
        <v>1625</v>
      </c>
      <c r="I47" s="0" t="s">
        <v>194</v>
      </c>
      <c r="J47" s="0" t="s">
        <v>36</v>
      </c>
      <c r="K47" s="0" t="s">
        <v>36</v>
      </c>
      <c r="P47" s="0" t="s">
        <v>193</v>
      </c>
      <c r="R47" s="0" t="s">
        <v>83</v>
      </c>
      <c r="S47" s="0" t="s">
        <v>119</v>
      </c>
      <c r="T47" s="0" t="n">
        <v>3</v>
      </c>
      <c r="U47" s="0" t="s">
        <v>143</v>
      </c>
      <c r="Y47" s="0" t="str">
        <f aca="false">HYPERLINK("http://lutemusic.org/facsimiles/GB-Lspencer_Private_Library_of_Robert_Spencer/Margaret_Board_lute_book_1625/25.png")</f>
        <v>http://lutemusic.org/facsimiles/GB-Lspencer_Private_Library_of_Robert_Spencer/Margaret_Board_lute_book_1625/25.png</v>
      </c>
      <c r="Z47" s="0" t="str">
        <f aca="false">HYPERLINK("http://lutemusic.org/composers/Anon/eglantine.ft3")</f>
        <v>http://lutemusic.org/composers/Anon/eglantine.ft3</v>
      </c>
      <c r="AA47" s="0" t="str">
        <f aca="false">HYPERLINK("http://lutemusic.org/composers/Anon/pdf/eglantine.pdf")</f>
        <v>http://lutemusic.org/composers/Anon/pdf/eglantine.pdf</v>
      </c>
      <c r="AB47" s="0" t="str">
        <f aca="false">HYPERLINK("http://lutemusic.org/composers/Anon/midi/eglantine.mid")</f>
        <v>http://lutemusic.org/composers/Anon/midi/eglantine.mid</v>
      </c>
      <c r="AC47" s="0" t="n">
        <v>1573937406</v>
      </c>
      <c r="AD47" s="0" t="n">
        <v>1588468777</v>
      </c>
    </row>
    <row r="48" customFormat="false" ht="12.8" hidden="false" customHeight="false" outlineLevel="0" collapsed="false">
      <c r="A48" s="0" t="s">
        <v>195</v>
      </c>
      <c r="C48" s="0" t="s">
        <v>79</v>
      </c>
      <c r="E48" s="0" t="s">
        <v>185</v>
      </c>
      <c r="F48" s="0" t="s">
        <v>186</v>
      </c>
      <c r="H48" s="0" t="n">
        <v>1625</v>
      </c>
      <c r="I48" s="0" t="s">
        <v>196</v>
      </c>
      <c r="J48" s="0" t="s">
        <v>36</v>
      </c>
      <c r="K48" s="0" t="s">
        <v>36</v>
      </c>
      <c r="R48" s="0" t="s">
        <v>83</v>
      </c>
      <c r="S48" s="0" t="s">
        <v>38</v>
      </c>
      <c r="T48" s="0" t="n">
        <v>3</v>
      </c>
      <c r="U48" s="0" t="s">
        <v>63</v>
      </c>
      <c r="Y48" s="0" t="str">
        <f aca="false">HYPERLINK("http://lutemusic.org/facsimiles/GB-Lspencer_Private_Library_of_Robert_Spencer/Margaret_Board_lute_book_1625/25v.png")</f>
        <v>http://lutemusic.org/facsimiles/GB-Lspencer_Private_Library_of_Robert_Spencer/Margaret_Board_lute_book_1625/25v.png</v>
      </c>
      <c r="Z48" s="0" t="str">
        <f aca="false">HYPERLINK("http://lutemusic.org/composers/Anon/gillyflower.ft3")</f>
        <v>http://lutemusic.org/composers/Anon/gillyflower.ft3</v>
      </c>
      <c r="AA48" s="0" t="str">
        <f aca="false">HYPERLINK("http://lutemusic.org/composers/Anon/pdf/gillyflower.pdf")</f>
        <v>http://lutemusic.org/composers/Anon/pdf/gillyflower.pdf</v>
      </c>
      <c r="AB48" s="0" t="str">
        <f aca="false">HYPERLINK("http://lutemusic.org/composers/Anon/midi/gillyflower.mid")</f>
        <v>http://lutemusic.org/composers/Anon/midi/gillyflower.mid</v>
      </c>
      <c r="AC48" s="0" t="n">
        <v>1573937406</v>
      </c>
      <c r="AD48" s="0" t="n">
        <v>1588468777</v>
      </c>
    </row>
    <row r="49" customFormat="false" ht="12.8" hidden="false" customHeight="false" outlineLevel="0" collapsed="false">
      <c r="A49" s="0" t="s">
        <v>197</v>
      </c>
      <c r="C49" s="0" t="s">
        <v>79</v>
      </c>
      <c r="E49" s="0" t="s">
        <v>185</v>
      </c>
      <c r="F49" s="0" t="s">
        <v>186</v>
      </c>
      <c r="H49" s="0" t="n">
        <v>1625</v>
      </c>
      <c r="I49" s="0" t="s">
        <v>198</v>
      </c>
      <c r="J49" s="0" t="s">
        <v>36</v>
      </c>
      <c r="K49" s="0" t="s">
        <v>36</v>
      </c>
      <c r="P49" s="0" t="s">
        <v>197</v>
      </c>
      <c r="R49" s="0" t="s">
        <v>83</v>
      </c>
      <c r="S49" s="0" t="s">
        <v>62</v>
      </c>
      <c r="T49" s="0" t="n">
        <v>3</v>
      </c>
      <c r="U49" s="0" t="s">
        <v>143</v>
      </c>
      <c r="Y49" s="0" t="str">
        <f aca="false">HYPERLINK("http://lutemusic.org/facsimiles/GB-Lspencer_Private_Library_of_Robert_Spencer/Margaret_Board_lute_book_1625/11.png")</f>
        <v>http://lutemusic.org/facsimiles/GB-Lspencer_Private_Library_of_Robert_Spencer/Margaret_Board_lute_book_1625/11.png</v>
      </c>
      <c r="Z49" s="0" t="str">
        <f aca="false">HYPERLINK("http://lutemusic.org/composers/Anon/home_again.ft3")</f>
        <v>http://lutemusic.org/composers/Anon/home_again.ft3</v>
      </c>
      <c r="AA49" s="0" t="str">
        <f aca="false">HYPERLINK("http://lutemusic.org/composers/Anon/pdf/home_again.pdf")</f>
        <v>http://lutemusic.org/composers/Anon/pdf/home_again.pdf</v>
      </c>
      <c r="AB49" s="0" t="str">
        <f aca="false">HYPERLINK("http://lutemusic.org/composers/Anon/midi/home_again.mid")</f>
        <v>http://lutemusic.org/composers/Anon/midi/home_again.mid</v>
      </c>
      <c r="AC49" s="0" t="n">
        <v>1573937406</v>
      </c>
      <c r="AD49" s="0" t="n">
        <v>1588468777</v>
      </c>
    </row>
    <row r="50" customFormat="false" ht="12.8" hidden="false" customHeight="false" outlineLevel="0" collapsed="false">
      <c r="A50" s="0" t="s">
        <v>199</v>
      </c>
      <c r="C50" s="0" t="s">
        <v>79</v>
      </c>
      <c r="E50" s="0" t="s">
        <v>200</v>
      </c>
      <c r="F50" s="0" t="s">
        <v>201</v>
      </c>
      <c r="H50" s="0" t="n">
        <v>1580</v>
      </c>
      <c r="I50" s="0" t="s">
        <v>180</v>
      </c>
      <c r="J50" s="0" t="s">
        <v>36</v>
      </c>
      <c r="K50" s="0" t="s">
        <v>36</v>
      </c>
      <c r="M50" s="0" t="s">
        <v>36</v>
      </c>
      <c r="P50" s="0" t="s">
        <v>199</v>
      </c>
      <c r="R50" s="0" t="s">
        <v>202</v>
      </c>
      <c r="S50" s="0" t="s">
        <v>49</v>
      </c>
      <c r="T50" s="0" t="n">
        <v>2</v>
      </c>
      <c r="U50" s="0" t="s">
        <v>63</v>
      </c>
      <c r="Z50" s="0" t="str">
        <f aca="false">HYPERLINK("http://lutemusic.org/composers/Anon/italiana.ft3")</f>
        <v>http://lutemusic.org/composers/Anon/italiana.ft3</v>
      </c>
      <c r="AA50" s="0" t="str">
        <f aca="false">HYPERLINK("http://lutemusic.org/composers/Anon/pdf/italiana.pdf")</f>
        <v>http://lutemusic.org/composers/Anon/pdf/italiana.pdf</v>
      </c>
      <c r="AB50" s="0" t="str">
        <f aca="false">HYPERLINK("http://lutemusic.org/composers/Anon/midi/italiana.mid")</f>
        <v>http://lutemusic.org/composers/Anon/midi/italiana.mid</v>
      </c>
      <c r="AC50" s="0" t="n">
        <v>1573937406</v>
      </c>
      <c r="AD50" s="0" t="n">
        <v>1586042061</v>
      </c>
    </row>
    <row r="51" customFormat="false" ht="12.8" hidden="false" customHeight="false" outlineLevel="0" collapsed="false">
      <c r="A51" s="0" t="s">
        <v>203</v>
      </c>
      <c r="C51" s="0" t="s">
        <v>79</v>
      </c>
      <c r="E51" s="0" t="s">
        <v>185</v>
      </c>
      <c r="F51" s="0" t="s">
        <v>186</v>
      </c>
      <c r="H51" s="0" t="n">
        <v>1625</v>
      </c>
      <c r="I51" s="0" t="s">
        <v>204</v>
      </c>
      <c r="J51" s="0" t="s">
        <v>36</v>
      </c>
      <c r="K51" s="0" t="s">
        <v>36</v>
      </c>
      <c r="P51" s="0" t="s">
        <v>203</v>
      </c>
      <c r="R51" s="0" t="s">
        <v>146</v>
      </c>
      <c r="S51" s="0" t="s">
        <v>66</v>
      </c>
      <c r="T51" s="0" t="n">
        <v>3</v>
      </c>
      <c r="U51" s="0" t="s">
        <v>63</v>
      </c>
      <c r="Y51" s="0" t="str">
        <f aca="false">HYPERLINK("http://lutemusic.org/facsimiles/GB-Lspencer_Private_Library_of_Robert_Spencer/Margaret_Board_lute_book_1625/11.png")</f>
        <v>http://lutemusic.org/facsimiles/GB-Lspencer_Private_Library_of_Robert_Spencer/Margaret_Board_lute_book_1625/11.png</v>
      </c>
      <c r="Z51" s="0" t="str">
        <f aca="false">HYPERLINK("http://lutemusic.org/composers/Anon/i_can_not_keep_my_wyfe.ft3")</f>
        <v>http://lutemusic.org/composers/Anon/i_can_not_keep_my_wyfe.ft3</v>
      </c>
      <c r="AA51" s="0" t="str">
        <f aca="false">HYPERLINK("http://lutemusic.org/composers/Anon/pdf/i_can_not_keep_my_wyfe.pdf")</f>
        <v>http://lutemusic.org/composers/Anon/pdf/i_can_not_keep_my_wyfe.pdf</v>
      </c>
      <c r="AB51" s="0" t="str">
        <f aca="false">HYPERLINK("http://lutemusic.org/composers/Anon/midi/i_can_not_keep_my_wyfe.mid")</f>
        <v>http://lutemusic.org/composers/Anon/midi/i_can_not_keep_my_wyfe.mid</v>
      </c>
      <c r="AC51" s="0" t="n">
        <v>1573937406</v>
      </c>
      <c r="AD51" s="0" t="n">
        <v>1588468777</v>
      </c>
    </row>
    <row r="52" customFormat="false" ht="12.8" hidden="false" customHeight="false" outlineLevel="0" collapsed="false">
      <c r="A52" s="0" t="s">
        <v>205</v>
      </c>
      <c r="C52" s="0" t="s">
        <v>79</v>
      </c>
      <c r="E52" s="0" t="s">
        <v>185</v>
      </c>
      <c r="F52" s="0" t="s">
        <v>186</v>
      </c>
      <c r="H52" s="0" t="n">
        <v>1625</v>
      </c>
      <c r="I52" s="0" t="s">
        <v>206</v>
      </c>
      <c r="J52" s="0" t="s">
        <v>36</v>
      </c>
      <c r="K52" s="0" t="s">
        <v>36</v>
      </c>
      <c r="P52" s="0" t="s">
        <v>205</v>
      </c>
      <c r="R52" s="0" t="s">
        <v>83</v>
      </c>
      <c r="S52" s="0" t="s">
        <v>49</v>
      </c>
      <c r="T52" s="0" t="n">
        <v>3</v>
      </c>
      <c r="U52" s="0" t="s">
        <v>143</v>
      </c>
      <c r="Y52" s="0" t="str">
        <f aca="false">HYPERLINK("http://lutemusic.org/facsimiles/GB-Lspencer_Private_Library_of_Robert_Spencer/Margaret_Board_lute_book_1625/27.png")</f>
        <v>http://lutemusic.org/facsimiles/GB-Lspencer_Private_Library_of_Robert_Spencer/Margaret_Board_lute_book_1625/27.png</v>
      </c>
      <c r="Z52" s="0" t="str">
        <f aca="false">HYPERLINK("http://lutemusic.org/composers/Anon/joan_to_the_maypole.ft3")</f>
        <v>http://lutemusic.org/composers/Anon/joan_to_the_maypole.ft3</v>
      </c>
      <c r="AA52" s="0" t="str">
        <f aca="false">HYPERLINK("http://lutemusic.org/composers/Anon/pdf/joan_to_the_maypole.pdf")</f>
        <v>http://lutemusic.org/composers/Anon/pdf/joan_to_the_maypole.pdf</v>
      </c>
      <c r="AB52" s="0" t="str">
        <f aca="false">HYPERLINK("http://lutemusic.org/composers/Anon/midi/joan_to_the_maypole.mid")</f>
        <v>http://lutemusic.org/composers/Anon/midi/joan_to_the_maypole.mid</v>
      </c>
      <c r="AC52" s="0" t="n">
        <v>1573937406</v>
      </c>
      <c r="AD52" s="0" t="n">
        <v>1588468777</v>
      </c>
    </row>
    <row r="53" customFormat="false" ht="12.8" hidden="false" customHeight="false" outlineLevel="0" collapsed="false">
      <c r="A53" s="0" t="s">
        <v>207</v>
      </c>
      <c r="C53" s="0" t="s">
        <v>79</v>
      </c>
      <c r="E53" s="0" t="s">
        <v>208</v>
      </c>
      <c r="F53" s="0" t="s">
        <v>209</v>
      </c>
      <c r="H53" s="0" t="n">
        <v>1592</v>
      </c>
      <c r="I53" s="0" t="s">
        <v>210</v>
      </c>
      <c r="J53" s="0" t="s">
        <v>36</v>
      </c>
      <c r="K53" s="0" t="s">
        <v>36</v>
      </c>
      <c r="P53" s="0" t="s">
        <v>207</v>
      </c>
      <c r="R53" s="0" t="s">
        <v>202</v>
      </c>
      <c r="S53" s="0" t="s">
        <v>38</v>
      </c>
      <c r="T53" s="0" t="n">
        <v>3</v>
      </c>
      <c r="U53" s="0" t="s">
        <v>63</v>
      </c>
      <c r="Z53" s="0" t="str">
        <f aca="false">HYPERLINK("http://lutemusic.org/composers/Anon/knowles.ft3")</f>
        <v>http://lutemusic.org/composers/Anon/knowles.ft3</v>
      </c>
      <c r="AA53" s="0" t="str">
        <f aca="false">HYPERLINK("http://lutemusic.org/composers/Anon/pdf/knowles.pdf")</f>
        <v>http://lutemusic.org/composers/Anon/pdf/knowles.pdf</v>
      </c>
      <c r="AB53" s="0" t="str">
        <f aca="false">HYPERLINK("http://lutemusic.org/composers/Anon/midi/knowles.mid")</f>
        <v>http://lutemusic.org/composers/Anon/midi/knowles.mid</v>
      </c>
      <c r="AC53" s="0" t="n">
        <v>1573937406</v>
      </c>
      <c r="AD53" s="0" t="n">
        <v>1586042061</v>
      </c>
    </row>
    <row r="54" customFormat="false" ht="12.8" hidden="false" customHeight="false" outlineLevel="0" collapsed="false">
      <c r="A54" s="0" t="s">
        <v>211</v>
      </c>
      <c r="C54" s="0" t="s">
        <v>79</v>
      </c>
      <c r="E54" s="0" t="s">
        <v>185</v>
      </c>
      <c r="F54" s="0" t="s">
        <v>212</v>
      </c>
      <c r="H54" s="0" t="n">
        <v>1599</v>
      </c>
      <c r="I54" s="0" t="s">
        <v>213</v>
      </c>
      <c r="J54" s="0" t="s">
        <v>36</v>
      </c>
      <c r="K54" s="0" t="s">
        <v>36</v>
      </c>
      <c r="P54" s="0" t="s">
        <v>211</v>
      </c>
      <c r="R54" s="0" t="s">
        <v>214</v>
      </c>
      <c r="S54" s="0" t="s">
        <v>84</v>
      </c>
      <c r="T54" s="0" t="n">
        <v>2</v>
      </c>
      <c r="U54" s="0" t="s">
        <v>63</v>
      </c>
      <c r="Y54" s="0" t="str">
        <f aca="false">HYPERLINK("http://lutemusic.org/facsimiles/GB-Lspencer_Private_Library_of_Robert_Spencer/Mynshall_lute_book_1599/07v.png")</f>
        <v>http://lutemusic.org/facsimiles/GB-Lspencer_Private_Library_of_Robert_Spencer/Mynshall_lute_book_1599/07v.png</v>
      </c>
      <c r="Z54" s="0" t="str">
        <f aca="false">HYPERLINK("http://lutemusic.org/composers/Anon/lord_zouche_s_mask.ft3")</f>
        <v>http://lutemusic.org/composers/Anon/lord_zouche_s_mask.ft3</v>
      </c>
      <c r="AA54" s="0" t="str">
        <f aca="false">HYPERLINK("http://lutemusic.org/composers/Anon/pdf/lord_zouche_s_mask.pdf")</f>
        <v>http://lutemusic.org/composers/Anon/pdf/lord_zouche_s_mask.pdf</v>
      </c>
      <c r="AB54" s="0" t="str">
        <f aca="false">HYPERLINK("http://lutemusic.org/composers/Anon/midi/lord_zouche_s_mask.mid")</f>
        <v>http://lutemusic.org/composers/Anon/midi/lord_zouche_s_mask.mid</v>
      </c>
      <c r="AC54" s="0" t="n">
        <v>1573937406</v>
      </c>
      <c r="AD54" s="0" t="n">
        <v>1588468777</v>
      </c>
    </row>
    <row r="55" customFormat="false" ht="12.8" hidden="false" customHeight="false" outlineLevel="0" collapsed="false">
      <c r="A55" s="0" t="s">
        <v>215</v>
      </c>
      <c r="C55" s="0" t="s">
        <v>79</v>
      </c>
      <c r="E55" s="0" t="s">
        <v>74</v>
      </c>
      <c r="F55" s="0" t="s">
        <v>159</v>
      </c>
      <c r="H55" s="0" t="n">
        <v>1600</v>
      </c>
      <c r="I55" s="0" t="s">
        <v>216</v>
      </c>
      <c r="J55" s="0" t="s">
        <v>36</v>
      </c>
      <c r="K55" s="0" t="s">
        <v>36</v>
      </c>
      <c r="P55" s="0" t="s">
        <v>215</v>
      </c>
      <c r="R55" s="0" t="s">
        <v>217</v>
      </c>
      <c r="S55" s="0" t="s">
        <v>49</v>
      </c>
      <c r="T55" s="0" t="n">
        <v>2</v>
      </c>
      <c r="U55" s="0" t="s">
        <v>53</v>
      </c>
      <c r="Y55" s="0" t="str">
        <f aca="false">HYPERLINK("http://lutemusic.org/facsimiles/GB-Cu_Cambridge_University_Library/Dd.2.11b_1600/065.png")</f>
        <v>http://lutemusic.org/facsimiles/GB-Cu_Cambridge_University_Library/Dd.2.11b_1600/065.png</v>
      </c>
      <c r="Z55" s="0" t="str">
        <f aca="false">HYPERLINK("http://lutemusic.org/composers/Anon/lullaby.ft3")</f>
        <v>http://lutemusic.org/composers/Anon/lullaby.ft3</v>
      </c>
      <c r="AA55" s="0" t="str">
        <f aca="false">HYPERLINK("http://lutemusic.org/composers/Anon/pdf/lullaby.pdf")</f>
        <v>http://lutemusic.org/composers/Anon/pdf/lullaby.pdf</v>
      </c>
      <c r="AB55" s="0" t="str">
        <f aca="false">HYPERLINK("http://lutemusic.org/composers/Anon/midi/lullaby.mid")</f>
        <v>http://lutemusic.org/composers/Anon/midi/lullaby.mid</v>
      </c>
      <c r="AC55" s="0" t="n">
        <v>1573937406</v>
      </c>
      <c r="AD55" s="0" t="n">
        <v>1586107254</v>
      </c>
    </row>
    <row r="56" customFormat="false" ht="12.8" hidden="false" customHeight="false" outlineLevel="0" collapsed="false">
      <c r="A56" s="0" t="s">
        <v>218</v>
      </c>
      <c r="C56" s="0" t="s">
        <v>219</v>
      </c>
      <c r="E56" s="0" t="s">
        <v>134</v>
      </c>
      <c r="F56" s="0" t="s">
        <v>135</v>
      </c>
      <c r="H56" s="0" t="n">
        <v>1575</v>
      </c>
      <c r="J56" s="0" t="s">
        <v>36</v>
      </c>
      <c r="K56" s="0" t="s">
        <v>36</v>
      </c>
      <c r="P56" s="0" t="s">
        <v>218</v>
      </c>
      <c r="R56" s="0" t="s">
        <v>83</v>
      </c>
      <c r="S56" s="0" t="s">
        <v>119</v>
      </c>
      <c r="T56" s="0" t="n">
        <v>3</v>
      </c>
      <c r="U56" s="0" t="s">
        <v>63</v>
      </c>
      <c r="Z56" s="0" t="str">
        <f aca="false">HYPERLINK("http://lutemusic.org/composers/Anon/panis_quem_ego.ft3")</f>
        <v>http://lutemusic.org/composers/Anon/panis_quem_ego.ft3</v>
      </c>
      <c r="AA56" s="0" t="str">
        <f aca="false">HYPERLINK("http://lutemusic.org/composers/Anon/pdf/panis_quem_ego.pdf")</f>
        <v>http://lutemusic.org/composers/Anon/pdf/panis_quem_ego.pdf</v>
      </c>
      <c r="AB56" s="0" t="str">
        <f aca="false">HYPERLINK("http://lutemusic.org/composers/Anon/midi/panis_quem_ego.mid")</f>
        <v>http://lutemusic.org/composers/Anon/midi/panis_quem_ego.mid</v>
      </c>
      <c r="AC56" s="0" t="n">
        <v>1573937406</v>
      </c>
      <c r="AD56" s="0" t="n">
        <v>1586042061</v>
      </c>
    </row>
    <row r="57" customFormat="false" ht="12.8" hidden="false" customHeight="false" outlineLevel="0" collapsed="false">
      <c r="A57" s="0" t="s">
        <v>220</v>
      </c>
      <c r="C57" s="0" t="s">
        <v>79</v>
      </c>
      <c r="E57" s="0" t="s">
        <v>221</v>
      </c>
      <c r="F57" s="0" t="s">
        <v>222</v>
      </c>
      <c r="H57" s="0" t="n">
        <v>1592</v>
      </c>
      <c r="I57" s="0" t="s">
        <v>223</v>
      </c>
      <c r="J57" s="0" t="s">
        <v>36</v>
      </c>
      <c r="K57" s="0" t="s">
        <v>36</v>
      </c>
      <c r="P57" s="0" t="s">
        <v>224</v>
      </c>
      <c r="R57" s="0" t="s">
        <v>146</v>
      </c>
      <c r="S57" s="0" t="s">
        <v>49</v>
      </c>
      <c r="T57" s="0" t="n">
        <v>1</v>
      </c>
      <c r="U57" s="0" t="s">
        <v>63</v>
      </c>
      <c r="Z57" s="0" t="str">
        <f aca="false">HYPERLINK("http://lutemusic.org/composers/Anon/peg-a-ramsey.ft3")</f>
        <v>http://lutemusic.org/composers/Anon/peg-a-ramsey.ft3</v>
      </c>
      <c r="AA57" s="0" t="str">
        <f aca="false">HYPERLINK("http://lutemusic.org/composers/Anon/pdf/peg-a-ramsey.pdf")</f>
        <v>http://lutemusic.org/composers/Anon/pdf/peg-a-ramsey.pdf</v>
      </c>
      <c r="AB57" s="0" t="str">
        <f aca="false">HYPERLINK("http://lutemusic.org/composers/Anon/midi/peg-a-ramsey.mid")</f>
        <v>http://lutemusic.org/composers/Anon/midi/peg-a-ramsey.mid</v>
      </c>
      <c r="AC57" s="0" t="n">
        <v>1573937406</v>
      </c>
      <c r="AD57" s="0" t="n">
        <v>1586042061</v>
      </c>
    </row>
    <row r="58" customFormat="false" ht="12.8" hidden="false" customHeight="false" outlineLevel="0" collapsed="false">
      <c r="A58" s="0" t="s">
        <v>225</v>
      </c>
      <c r="C58" s="0" t="s">
        <v>79</v>
      </c>
      <c r="E58" s="0" t="s">
        <v>33</v>
      </c>
      <c r="F58" s="0" t="s">
        <v>191</v>
      </c>
      <c r="H58" s="0" t="n">
        <v>1616</v>
      </c>
      <c r="I58" s="0" t="s">
        <v>226</v>
      </c>
      <c r="J58" s="0" t="s">
        <v>36</v>
      </c>
      <c r="K58" s="0" t="s">
        <v>36</v>
      </c>
      <c r="P58" s="0" t="s">
        <v>137</v>
      </c>
      <c r="R58" s="0" t="s">
        <v>88</v>
      </c>
      <c r="S58" s="0" t="s">
        <v>49</v>
      </c>
      <c r="T58" s="0" t="n">
        <v>3</v>
      </c>
      <c r="U58" s="0" t="s">
        <v>63</v>
      </c>
      <c r="Y58" s="0" t="str">
        <f aca="false">HYPERLINK("http://lutemusic.org/facsimiles/GB-Lbl_British_Library/ms_Eg._2046_Pickering_lute_book_1616/15.png")</f>
        <v>http://lutemusic.org/facsimiles/GB-Lbl_British_Library/ms_Eg._2046_Pickering_lute_book_1616/15.png</v>
      </c>
      <c r="Z58" s="0" t="str">
        <f aca="false">HYPERLINK("http://lutemusic.org/composers/Anon/pickering_f15a.ft3")</f>
        <v>http://lutemusic.org/composers/Anon/pickering_f15a.ft3</v>
      </c>
      <c r="AA58" s="0" t="str">
        <f aca="false">HYPERLINK("http://lutemusic.org/composers/Anon/pdf/pickering_f15a.pdf")</f>
        <v>http://lutemusic.org/composers/Anon/pdf/pickering_f15a.pdf</v>
      </c>
      <c r="AB58" s="0" t="str">
        <f aca="false">HYPERLINK("http://lutemusic.org/composers/Anon/midi/pickering_f15a.mid")</f>
        <v>http://lutemusic.org/composers/Anon/midi/pickering_f15a.mid</v>
      </c>
      <c r="AC58" s="0" t="n">
        <v>1573937406</v>
      </c>
      <c r="AD58" s="0" t="n">
        <v>1588630195</v>
      </c>
    </row>
    <row r="59" customFormat="false" ht="12.8" hidden="false" customHeight="false" outlineLevel="0" collapsed="false">
      <c r="A59" s="0" t="s">
        <v>227</v>
      </c>
      <c r="C59" s="0" t="s">
        <v>79</v>
      </c>
      <c r="E59" s="0" t="s">
        <v>33</v>
      </c>
      <c r="F59" s="0" t="s">
        <v>191</v>
      </c>
      <c r="H59" s="0" t="n">
        <v>1616</v>
      </c>
      <c r="I59" s="0" t="s">
        <v>228</v>
      </c>
      <c r="J59" s="0" t="s">
        <v>36</v>
      </c>
      <c r="K59" s="0" t="s">
        <v>36</v>
      </c>
      <c r="P59" s="0" t="s">
        <v>137</v>
      </c>
      <c r="R59" s="0" t="s">
        <v>146</v>
      </c>
      <c r="S59" s="0" t="s">
        <v>38</v>
      </c>
      <c r="T59" s="0" t="n">
        <v>3</v>
      </c>
      <c r="U59" s="0" t="s">
        <v>63</v>
      </c>
      <c r="Y59" s="0" t="str">
        <f aca="false">HYPERLINK("http://lutemusic.org/facsimiles/GB-Lbl_British_Library/ms_Eg._2046_Pickering_lute_book_1616/15.png")</f>
        <v>http://lutemusic.org/facsimiles/GB-Lbl_British_Library/ms_Eg._2046_Pickering_lute_book_1616/15.png</v>
      </c>
      <c r="Z59" s="0" t="str">
        <f aca="false">HYPERLINK("http://lutemusic.org/composers/Anon/pickering_f15b.ft3")</f>
        <v>http://lutemusic.org/composers/Anon/pickering_f15b.ft3</v>
      </c>
      <c r="AA59" s="0" t="str">
        <f aca="false">HYPERLINK("http://lutemusic.org/composers/Anon/pdf/pickering_f15b.pdf")</f>
        <v>http://lutemusic.org/composers/Anon/pdf/pickering_f15b.pdf</v>
      </c>
      <c r="AB59" s="0" t="str">
        <f aca="false">HYPERLINK("http://lutemusic.org/composers/Anon/midi/pickering_f15b.mid")</f>
        <v>http://lutemusic.org/composers/Anon/midi/pickering_f15b.mid</v>
      </c>
      <c r="AC59" s="0" t="n">
        <v>1573937406</v>
      </c>
      <c r="AD59" s="0" t="n">
        <v>1588630195</v>
      </c>
    </row>
    <row r="60" customFormat="false" ht="12.8" hidden="false" customHeight="false" outlineLevel="0" collapsed="false">
      <c r="A60" s="0" t="s">
        <v>229</v>
      </c>
      <c r="C60" s="0" t="s">
        <v>79</v>
      </c>
      <c r="E60" s="0" t="s">
        <v>165</v>
      </c>
      <c r="F60" s="0" t="s">
        <v>166</v>
      </c>
      <c r="H60" s="0" t="n">
        <v>1610</v>
      </c>
      <c r="I60" s="0" t="s">
        <v>230</v>
      </c>
      <c r="J60" s="0" t="s">
        <v>168</v>
      </c>
      <c r="K60" s="0" t="s">
        <v>36</v>
      </c>
      <c r="M60" s="0" t="s">
        <v>168</v>
      </c>
      <c r="P60" s="0" t="s">
        <v>229</v>
      </c>
      <c r="R60" s="0" t="s">
        <v>169</v>
      </c>
      <c r="S60" s="0" t="s">
        <v>38</v>
      </c>
      <c r="T60" s="0" t="n">
        <v>3</v>
      </c>
      <c r="U60" s="0" t="s">
        <v>63</v>
      </c>
      <c r="Z60" s="0" t="str">
        <f aca="false">HYPERLINK("http://lutemusic.org/composers/Anon/polish_dance_01.ft3")</f>
        <v>http://lutemusic.org/composers/Anon/polish_dance_01.ft3</v>
      </c>
      <c r="AA60" s="0" t="str">
        <f aca="false">HYPERLINK("http://lutemusic.org/composers/Anon/pdf/polish_dance_01.pdf")</f>
        <v>http://lutemusic.org/composers/Anon/pdf/polish_dance_01.pdf</v>
      </c>
      <c r="AB60" s="0" t="str">
        <f aca="false">HYPERLINK("http://lutemusic.org/composers/Anon/midi/polish_dance_01.mid")</f>
        <v>http://lutemusic.org/composers/Anon/midi/polish_dance_01.mid</v>
      </c>
      <c r="AC60" s="0" t="n">
        <v>1573937406</v>
      </c>
      <c r="AD60" s="0" t="n">
        <v>1588630195</v>
      </c>
    </row>
    <row r="61" customFormat="false" ht="12.8" hidden="false" customHeight="false" outlineLevel="0" collapsed="false">
      <c r="A61" s="0" t="s">
        <v>231</v>
      </c>
      <c r="C61" s="0" t="s">
        <v>79</v>
      </c>
      <c r="E61" s="0" t="s">
        <v>165</v>
      </c>
      <c r="F61" s="0" t="s">
        <v>166</v>
      </c>
      <c r="H61" s="0" t="n">
        <v>1610</v>
      </c>
      <c r="I61" s="0" t="s">
        <v>35</v>
      </c>
      <c r="J61" s="0" t="s">
        <v>168</v>
      </c>
      <c r="K61" s="0" t="s">
        <v>36</v>
      </c>
      <c r="M61" s="0" t="s">
        <v>168</v>
      </c>
      <c r="P61" s="0" t="s">
        <v>231</v>
      </c>
      <c r="R61" s="0" t="s">
        <v>169</v>
      </c>
      <c r="S61" s="0" t="s">
        <v>49</v>
      </c>
      <c r="T61" s="0" t="n">
        <v>3</v>
      </c>
      <c r="U61" s="0" t="s">
        <v>53</v>
      </c>
      <c r="Z61" s="0" t="str">
        <f aca="false">HYPERLINK("http://lutemusic.org/composers/Anon/polish_dance_02.ft3")</f>
        <v>http://lutemusic.org/composers/Anon/polish_dance_02.ft3</v>
      </c>
      <c r="AA61" s="0" t="str">
        <f aca="false">HYPERLINK("http://lutemusic.org/composers/Anon/pdf/polish_dance_02.pdf")</f>
        <v>http://lutemusic.org/composers/Anon/pdf/polish_dance_02.pdf</v>
      </c>
      <c r="AB61" s="0" t="str">
        <f aca="false">HYPERLINK("http://lutemusic.org/composers/Anon/midi/polish_dance_02.mid")</f>
        <v>http://lutemusic.org/composers/Anon/midi/polish_dance_02.mid</v>
      </c>
      <c r="AC61" s="0" t="n">
        <v>1573937406</v>
      </c>
      <c r="AD61" s="0" t="n">
        <v>1588630195</v>
      </c>
    </row>
    <row r="62" customFormat="false" ht="12.8" hidden="false" customHeight="false" outlineLevel="0" collapsed="false">
      <c r="A62" s="0" t="s">
        <v>232</v>
      </c>
      <c r="C62" s="0" t="s">
        <v>79</v>
      </c>
      <c r="E62" s="0" t="s">
        <v>74</v>
      </c>
      <c r="F62" s="0" t="s">
        <v>159</v>
      </c>
      <c r="H62" s="0" t="n">
        <v>1600</v>
      </c>
      <c r="I62" s="0" t="s">
        <v>233</v>
      </c>
      <c r="J62" s="0" t="s">
        <v>36</v>
      </c>
      <c r="K62" s="0" t="s">
        <v>36</v>
      </c>
      <c r="P62" s="0" t="s">
        <v>232</v>
      </c>
      <c r="R62" s="0" t="s">
        <v>234</v>
      </c>
      <c r="S62" s="0" t="s">
        <v>49</v>
      </c>
      <c r="T62" s="0" t="n">
        <v>4</v>
      </c>
      <c r="U62" s="0" t="s">
        <v>63</v>
      </c>
      <c r="Y62" s="0" t="str">
        <f aca="false">HYPERLINK("http://lutemusic.org/facsimiles/GB-Cu_Cambridge_University_Library/Dd.2.11b_1600/049.png")</f>
        <v>http://lutemusic.org/facsimiles/GB-Cu_Cambridge_University_Library/Dd.2.11b_1600/049.png</v>
      </c>
      <c r="Z62" s="0" t="str">
        <f aca="false">HYPERLINK("http://lutemusic.org/composers/Anon/progresse.ft3")</f>
        <v>http://lutemusic.org/composers/Anon/progresse.ft3</v>
      </c>
      <c r="AA62" s="0" t="str">
        <f aca="false">HYPERLINK("http://lutemusic.org/composers/Anon/pdf/progresse.pdf")</f>
        <v>http://lutemusic.org/composers/Anon/pdf/progresse.pdf</v>
      </c>
      <c r="AB62" s="0" t="str">
        <f aca="false">HYPERLINK("http://lutemusic.org/composers/Anon/midi/progresse.mid")</f>
        <v>http://lutemusic.org/composers/Anon/midi/progresse.mid</v>
      </c>
      <c r="AC62" s="0" t="n">
        <v>1573937406</v>
      </c>
      <c r="AD62" s="0" t="n">
        <v>1586042061</v>
      </c>
    </row>
    <row r="63" customFormat="false" ht="12.8" hidden="false" customHeight="false" outlineLevel="0" collapsed="false">
      <c r="A63" s="0" t="s">
        <v>235</v>
      </c>
      <c r="C63" s="0" t="s">
        <v>79</v>
      </c>
      <c r="E63" s="0" t="s">
        <v>185</v>
      </c>
      <c r="F63" s="0" t="s">
        <v>212</v>
      </c>
      <c r="H63" s="0" t="n">
        <v>1599</v>
      </c>
      <c r="I63" s="0" t="s">
        <v>236</v>
      </c>
      <c r="J63" s="0" t="s">
        <v>36</v>
      </c>
      <c r="K63" s="0" t="s">
        <v>36</v>
      </c>
      <c r="P63" s="0" t="s">
        <v>235</v>
      </c>
      <c r="R63" s="0" t="s">
        <v>237</v>
      </c>
      <c r="S63" s="0" t="s">
        <v>38</v>
      </c>
      <c r="T63" s="0" t="n">
        <v>3</v>
      </c>
      <c r="U63" s="0" t="s">
        <v>63</v>
      </c>
      <c r="Y63" s="0" t="str">
        <f aca="false">HYPERLINK("http://lutemusic.org/facsimiles/GB-Lspencer_Private_Library_of_Robert_Spencer/Mynshall_lute_book_1599/05v.png")</f>
        <v>http://lutemusic.org/facsimiles/GB-Lspencer_Private_Library_of_Robert_Spencer/Mynshall_lute_book_1599/05v.png</v>
      </c>
      <c r="Z63" s="0" t="str">
        <f aca="false">HYPERLINK("http://lutemusic.org/composers/Anon/scottish_hunt_s_up.ft3")</f>
        <v>http://lutemusic.org/composers/Anon/scottish_hunt_s_up.ft3</v>
      </c>
      <c r="AA63" s="0" t="str">
        <f aca="false">HYPERLINK("http://lutemusic.org/composers/Anon/pdf/scottish_hunt_s_up.pdf")</f>
        <v>http://lutemusic.org/composers/Anon/pdf/scottish_hunt_s_up.pdf</v>
      </c>
      <c r="AB63" s="0" t="str">
        <f aca="false">HYPERLINK("http://lutemusic.org/composers/Anon/midi/scottish_hunt_s_up.mid")</f>
        <v>http://lutemusic.org/composers/Anon/midi/scottish_hunt_s_up.mid</v>
      </c>
      <c r="AC63" s="0" t="n">
        <v>1573937406</v>
      </c>
      <c r="AD63" s="0" t="n">
        <v>1588468777</v>
      </c>
    </row>
    <row r="64" customFormat="false" ht="12.8" hidden="false" customHeight="false" outlineLevel="0" collapsed="false">
      <c r="A64" s="0" t="s">
        <v>238</v>
      </c>
      <c r="C64" s="0" t="s">
        <v>79</v>
      </c>
      <c r="E64" s="0" t="s">
        <v>185</v>
      </c>
      <c r="F64" s="0" t="s">
        <v>186</v>
      </c>
      <c r="H64" s="0" t="n">
        <v>1625</v>
      </c>
      <c r="I64" s="0" t="s">
        <v>239</v>
      </c>
      <c r="J64" s="0" t="s">
        <v>36</v>
      </c>
      <c r="K64" s="0" t="s">
        <v>36</v>
      </c>
      <c r="P64" s="0" t="s">
        <v>238</v>
      </c>
      <c r="R64" s="0" t="s">
        <v>240</v>
      </c>
      <c r="S64" s="0" t="s">
        <v>38</v>
      </c>
      <c r="T64" s="0" t="n">
        <v>3</v>
      </c>
      <c r="U64" s="0" t="s">
        <v>53</v>
      </c>
      <c r="Y64" s="0" t="str">
        <f aca="false">HYPERLINK("http://lutemusic.org/facsimiles/GB-Lspencer_Private_Library_of_Robert_Spencer/Margaret_Board_lute_book_1625/12.png")</f>
        <v>http://lutemusic.org/facsimiles/GB-Lspencer_Private_Library_of_Robert_Spencer/Margaret_Board_lute_book_1625/12.png</v>
      </c>
      <c r="Z64" s="0" t="str">
        <f aca="false">HYPERLINK("http://lutemusic.org/composers/Anon/sellinger_s_rownd.ft3")</f>
        <v>http://lutemusic.org/composers/Anon/sellinger_s_rownd.ft3</v>
      </c>
      <c r="AA64" s="0" t="str">
        <f aca="false">HYPERLINK("http://lutemusic.org/composers/Anon/pdf/sellinger_s_rownd.pdf")</f>
        <v>http://lutemusic.org/composers/Anon/pdf/sellinger_s_rownd.pdf</v>
      </c>
      <c r="AB64" s="0" t="str">
        <f aca="false">HYPERLINK("http://lutemusic.org/composers/Anon/midi/sellinger_s_rownd.mid")</f>
        <v>http://lutemusic.org/composers/Anon/midi/sellinger_s_rownd.mid</v>
      </c>
      <c r="AC64" s="0" t="n">
        <v>1573937406</v>
      </c>
      <c r="AD64" s="0" t="n">
        <v>1588468777</v>
      </c>
    </row>
    <row r="65" customFormat="false" ht="12.8" hidden="false" customHeight="false" outlineLevel="0" collapsed="false">
      <c r="A65" s="0" t="s">
        <v>241</v>
      </c>
      <c r="C65" s="0" t="s">
        <v>79</v>
      </c>
      <c r="E65" s="0" t="s">
        <v>185</v>
      </c>
      <c r="F65" s="0" t="s">
        <v>186</v>
      </c>
      <c r="H65" s="0" t="n">
        <v>1625</v>
      </c>
      <c r="I65" s="0" t="s">
        <v>242</v>
      </c>
      <c r="J65" s="0" t="s">
        <v>36</v>
      </c>
      <c r="K65" s="0" t="s">
        <v>36</v>
      </c>
      <c r="P65" s="0" t="s">
        <v>243</v>
      </c>
      <c r="R65" s="0" t="s">
        <v>214</v>
      </c>
      <c r="S65" s="0" t="s">
        <v>66</v>
      </c>
      <c r="T65" s="0" t="n">
        <v>3</v>
      </c>
      <c r="U65" s="0" t="s">
        <v>244</v>
      </c>
      <c r="Y65" s="0" t="str">
        <f aca="false">HYPERLINK("http://lutemusic.org/facsimiles/GB-Lspencer_Private_Library_of_Robert_Spencer/Margaret_Board_lute_book_1625/38v.png")</f>
        <v>http://lutemusic.org/facsimiles/GB-Lspencer_Private_Library_of_Robert_Spencer/Margaret_Board_lute_book_1625/38v.png</v>
      </c>
      <c r="Z65" s="0" t="str">
        <f aca="false">HYPERLINK("http://lutemusic.org/composers/Anon/standing_masque.ft3")</f>
        <v>http://lutemusic.org/composers/Anon/standing_masque.ft3</v>
      </c>
      <c r="AA65" s="0" t="str">
        <f aca="false">HYPERLINK("http://lutemusic.org/composers/Anon/pdf/standing_masque.pdf")</f>
        <v>http://lutemusic.org/composers/Anon/pdf/standing_masque.pdf</v>
      </c>
      <c r="AB65" s="0" t="str">
        <f aca="false">HYPERLINK("http://lutemusic.org/composers/Anon/midi/standing_masque.mid")</f>
        <v>http://lutemusic.org/composers/Anon/midi/standing_masque.mid</v>
      </c>
      <c r="AC65" s="0" t="n">
        <v>1573937406</v>
      </c>
      <c r="AD65" s="0" t="n">
        <v>1588468777</v>
      </c>
    </row>
    <row r="66" customFormat="false" ht="12.8" hidden="false" customHeight="false" outlineLevel="0" collapsed="false">
      <c r="A66" s="0" t="s">
        <v>245</v>
      </c>
      <c r="C66" s="0" t="s">
        <v>79</v>
      </c>
      <c r="E66" s="0" t="s">
        <v>33</v>
      </c>
      <c r="F66" s="0" t="s">
        <v>191</v>
      </c>
      <c r="H66" s="0" t="n">
        <v>1616</v>
      </c>
      <c r="I66" s="0" t="s">
        <v>246</v>
      </c>
      <c r="J66" s="0" t="s">
        <v>36</v>
      </c>
      <c r="K66" s="0" t="s">
        <v>36</v>
      </c>
      <c r="P66" s="0" t="s">
        <v>245</v>
      </c>
      <c r="R66" s="0" t="s">
        <v>77</v>
      </c>
      <c r="S66" s="0" t="s">
        <v>84</v>
      </c>
      <c r="T66" s="0" t="n">
        <v>3</v>
      </c>
      <c r="U66" s="0" t="s">
        <v>63</v>
      </c>
      <c r="Y66" s="0" t="str">
        <f aca="false">HYPERLINK("http://lutemusic.org/facsimiles/GB-Lbl_British_Library/ms_Eg._2046_Pickering_lute_book_1616/30.png")</f>
        <v>http://lutemusic.org/facsimiles/GB-Lbl_British_Library/ms_Eg._2046_Pickering_lute_book_1616/30.png</v>
      </c>
      <c r="Z66" s="0" t="str">
        <f aca="false">HYPERLINK("http://lutemusic.org/composers/Anon/the_maids_in_constrite.ft3")</f>
        <v>http://lutemusic.org/composers/Anon/the_maids_in_constrite.ft3</v>
      </c>
      <c r="AA66" s="0" t="str">
        <f aca="false">HYPERLINK("http://lutemusic.org/composers/Anon/pdf/the_maids_in_constrite.pdf")</f>
        <v>http://lutemusic.org/composers/Anon/pdf/the_maids_in_constrite.pdf</v>
      </c>
      <c r="AB66" s="0" t="str">
        <f aca="false">HYPERLINK("http://lutemusic.org/composers/Anon/midi/the_maids_in_constrite.mid")</f>
        <v>http://lutemusic.org/composers/Anon/midi/the_maids_in_constrite.mid</v>
      </c>
      <c r="AC66" s="0" t="n">
        <v>1573937406</v>
      </c>
      <c r="AD66" s="0" t="n">
        <v>1588630195</v>
      </c>
    </row>
    <row r="67" customFormat="false" ht="12.8" hidden="false" customHeight="false" outlineLevel="0" collapsed="false">
      <c r="A67" s="0" t="s">
        <v>247</v>
      </c>
      <c r="C67" s="0" t="s">
        <v>79</v>
      </c>
      <c r="E67" s="0" t="s">
        <v>185</v>
      </c>
      <c r="F67" s="0" t="s">
        <v>212</v>
      </c>
      <c r="H67" s="0" t="n">
        <v>1599</v>
      </c>
      <c r="I67" s="0" t="s">
        <v>248</v>
      </c>
      <c r="J67" s="0" t="s">
        <v>36</v>
      </c>
      <c r="K67" s="0" t="s">
        <v>36</v>
      </c>
      <c r="P67" s="0" t="s">
        <v>249</v>
      </c>
      <c r="R67" s="0" t="s">
        <v>234</v>
      </c>
      <c r="S67" s="0" t="s">
        <v>38</v>
      </c>
      <c r="T67" s="0" t="n">
        <v>3</v>
      </c>
      <c r="U67" s="0" t="s">
        <v>63</v>
      </c>
      <c r="Y67" s="0" t="str">
        <f aca="false">HYPERLINK("http://lutemusic.org/facsimiles/GB-Lspencer_Private_Library_of_Robert_Spencer/Mynshall_lute_book_1599/08.png")</f>
        <v>http://lutemusic.org/facsimiles/GB-Lspencer_Private_Library_of_Robert_Spencer/Mynshall_lute_book_1599/08.png</v>
      </c>
      <c r="Z67" s="0" t="str">
        <f aca="false">HYPERLINK("http://lutemusic.org/composers/Anon/the_moris.ft3")</f>
        <v>http://lutemusic.org/composers/Anon/the_moris.ft3</v>
      </c>
      <c r="AA67" s="0" t="str">
        <f aca="false">HYPERLINK("http://lutemusic.org/composers/Anon/pdf/the_moris.pdf")</f>
        <v>http://lutemusic.org/composers/Anon/pdf/the_moris.pdf</v>
      </c>
      <c r="AB67" s="0" t="str">
        <f aca="false">HYPERLINK("http://lutemusic.org/composers/Anon/midi/the_moris.mid")</f>
        <v>http://lutemusic.org/composers/Anon/midi/the_moris.mid</v>
      </c>
      <c r="AC67" s="0" t="n">
        <v>1573937406</v>
      </c>
      <c r="AD67" s="0" t="n">
        <v>1588468777</v>
      </c>
    </row>
    <row r="68" customFormat="false" ht="12.8" hidden="false" customHeight="false" outlineLevel="0" collapsed="false">
      <c r="A68" s="0" t="s">
        <v>137</v>
      </c>
      <c r="C68" s="0" t="s">
        <v>79</v>
      </c>
      <c r="E68" s="0" t="s">
        <v>185</v>
      </c>
      <c r="F68" s="0" t="s">
        <v>186</v>
      </c>
      <c r="H68" s="0" t="n">
        <v>1625</v>
      </c>
      <c r="I68" s="0" t="s">
        <v>250</v>
      </c>
      <c r="J68" s="0" t="s">
        <v>36</v>
      </c>
      <c r="K68" s="0" t="s">
        <v>36</v>
      </c>
      <c r="P68" s="0" t="s">
        <v>137</v>
      </c>
      <c r="R68" s="0" t="s">
        <v>234</v>
      </c>
      <c r="S68" s="0" t="s">
        <v>49</v>
      </c>
      <c r="T68" s="0" t="n">
        <v>3</v>
      </c>
      <c r="U68" s="0" t="s">
        <v>53</v>
      </c>
      <c r="Y68" s="0" t="str">
        <f aca="false">HYPERLINK("http://lutemusic.org/facsimiles/GB-Lspencer_Private_Library_of_Robert_Spencer/Margaret_Board_lute_book_1625/18v.png")</f>
        <v>http://lutemusic.org/facsimiles/GB-Lspencer_Private_Library_of_Robert_Spencer/Margaret_Board_lute_book_1625/18v.png</v>
      </c>
      <c r="Z68" s="0" t="str">
        <f aca="false">HYPERLINK("http://lutemusic.org/composers/Anon/untitled.ft3")</f>
        <v>http://lutemusic.org/composers/Anon/untitled.ft3</v>
      </c>
      <c r="AA68" s="0" t="str">
        <f aca="false">HYPERLINK("http://lutemusic.org/composers/Anon/pdf/untitled.pdf")</f>
        <v>http://lutemusic.org/composers/Anon/pdf/untitled.pdf</v>
      </c>
      <c r="AB68" s="0" t="str">
        <f aca="false">HYPERLINK("http://lutemusic.org/composers/Anon/midi/untitled.mid")</f>
        <v>http://lutemusic.org/composers/Anon/midi/untitled.mid</v>
      </c>
      <c r="AC68" s="0" t="n">
        <v>1573937406</v>
      </c>
      <c r="AD68" s="0" t="n">
        <v>1588468777</v>
      </c>
    </row>
    <row r="69" customFormat="false" ht="12.8" hidden="false" customHeight="false" outlineLevel="0" collapsed="false">
      <c r="A69" s="0" t="s">
        <v>251</v>
      </c>
      <c r="C69" s="0" t="s">
        <v>79</v>
      </c>
      <c r="E69" s="0" t="s">
        <v>200</v>
      </c>
      <c r="F69" s="0" t="s">
        <v>201</v>
      </c>
      <c r="H69" s="0" t="n">
        <v>1580</v>
      </c>
      <c r="I69" s="0" t="s">
        <v>35</v>
      </c>
      <c r="J69" s="0" t="s">
        <v>36</v>
      </c>
      <c r="K69" s="0" t="s">
        <v>36</v>
      </c>
      <c r="M69" s="0" t="s">
        <v>36</v>
      </c>
      <c r="P69" s="0" t="s">
        <v>251</v>
      </c>
      <c r="R69" s="0" t="s">
        <v>234</v>
      </c>
      <c r="S69" s="0" t="s">
        <v>49</v>
      </c>
      <c r="T69" s="0" t="n">
        <v>3</v>
      </c>
      <c r="U69" s="0" t="s">
        <v>53</v>
      </c>
      <c r="Z69" s="0" t="str">
        <f aca="false">HYPERLINK("http://lutemusic.org/composers/Anon/vaghe_belleze.ft3")</f>
        <v>http://lutemusic.org/composers/Anon/vaghe_belleze.ft3</v>
      </c>
      <c r="AA69" s="0" t="str">
        <f aca="false">HYPERLINK("http://lutemusic.org/composers/Anon/pdf/vaghe_belleze.pdf")</f>
        <v>http://lutemusic.org/composers/Anon/pdf/vaghe_belleze.pdf</v>
      </c>
      <c r="AB69" s="0" t="str">
        <f aca="false">HYPERLINK("http://lutemusic.org/composers/Anon/midi/vaghe_belleze.mid")</f>
        <v>http://lutemusic.org/composers/Anon/midi/vaghe_belleze.mid</v>
      </c>
      <c r="AC69" s="0" t="n">
        <v>1573937406</v>
      </c>
      <c r="AD69" s="0" t="n">
        <v>1586042061</v>
      </c>
    </row>
    <row r="70" customFormat="false" ht="12.8" hidden="false" customHeight="false" outlineLevel="0" collapsed="false">
      <c r="A70" s="0" t="s">
        <v>252</v>
      </c>
      <c r="C70" s="0" t="s">
        <v>79</v>
      </c>
      <c r="E70" s="0" t="s">
        <v>208</v>
      </c>
      <c r="F70" s="0" t="s">
        <v>209</v>
      </c>
      <c r="H70" s="0" t="n">
        <v>1592</v>
      </c>
      <c r="I70" s="0" t="s">
        <v>253</v>
      </c>
      <c r="J70" s="0" t="s">
        <v>36</v>
      </c>
      <c r="K70" s="0" t="s">
        <v>36</v>
      </c>
      <c r="P70" s="0" t="s">
        <v>252</v>
      </c>
      <c r="R70" s="0" t="s">
        <v>83</v>
      </c>
      <c r="S70" s="0" t="s">
        <v>152</v>
      </c>
      <c r="T70" s="0" t="n">
        <v>3</v>
      </c>
      <c r="U70" s="0" t="s">
        <v>63</v>
      </c>
      <c r="Z70" s="0" t="str">
        <f aca="false">HYPERLINK("http://lutemusic.org/composers/Anon/walsingham_anon.ft3")</f>
        <v>http://lutemusic.org/composers/Anon/walsingham_anon.ft3</v>
      </c>
      <c r="AA70" s="0" t="str">
        <f aca="false">HYPERLINK("http://lutemusic.org/composers/Anon/pdf/walsingham_anon.pdf")</f>
        <v>http://lutemusic.org/composers/Anon/pdf/walsingham_anon.pdf</v>
      </c>
      <c r="AB70" s="0" t="str">
        <f aca="false">HYPERLINK("http://lutemusic.org/composers/Anon/midi/walsingham_anon.mid")</f>
        <v>http://lutemusic.org/composers/Anon/midi/walsingham_anon.mid</v>
      </c>
      <c r="AC70" s="0" t="n">
        <v>1573937406</v>
      </c>
      <c r="AD70" s="0" t="n">
        <v>1586042061</v>
      </c>
    </row>
    <row r="71" customFormat="false" ht="12.8" hidden="false" customHeight="false" outlineLevel="0" collapsed="false">
      <c r="A71" s="0" t="s">
        <v>254</v>
      </c>
      <c r="C71" s="0" t="s">
        <v>79</v>
      </c>
      <c r="E71" s="0" t="s">
        <v>185</v>
      </c>
      <c r="F71" s="0" t="s">
        <v>255</v>
      </c>
      <c r="H71" s="0" t="n">
        <v>1610</v>
      </c>
      <c r="I71" s="0" t="s">
        <v>256</v>
      </c>
      <c r="J71" s="0" t="s">
        <v>36</v>
      </c>
      <c r="K71" s="0" t="s">
        <v>36</v>
      </c>
      <c r="P71" s="0" t="s">
        <v>254</v>
      </c>
      <c r="R71" s="0" t="s">
        <v>181</v>
      </c>
      <c r="S71" s="0" t="s">
        <v>38</v>
      </c>
      <c r="T71" s="0" t="n">
        <v>3</v>
      </c>
      <c r="U71" s="0" t="s">
        <v>63</v>
      </c>
      <c r="Y71" s="0" t="str">
        <f aca="false">HYPERLINK("http://lutemusic.org/facsimiles/GB-Lspencer_Private_Library_of_Robert_Spencer/Sampson_lute_book_1610/04.png")</f>
        <v>http://lutemusic.org/facsimiles/GB-Lspencer_Private_Library_of_Robert_Spencer/Sampson_lute_book_1610/04.png</v>
      </c>
      <c r="Z71" s="0" t="str">
        <f aca="false">HYPERLINK("http://lutemusic.org/composers/Anon/wilsons_wilde.ft3")</f>
        <v>http://lutemusic.org/composers/Anon/wilsons_wilde.ft3</v>
      </c>
      <c r="AA71" s="0" t="str">
        <f aca="false">HYPERLINK("http://lutemusic.org/composers/Anon/pdf/wilsons_wilde.pdf")</f>
        <v>http://lutemusic.org/composers/Anon/pdf/wilsons_wilde.pdf</v>
      </c>
      <c r="AB71" s="0" t="str">
        <f aca="false">HYPERLINK("http://lutemusic.org/composers/Anon/midi/wilsons_wilde.mid")</f>
        <v>http://lutemusic.org/composers/Anon/midi/wilsons_wilde.mid</v>
      </c>
      <c r="AC71" s="0" t="n">
        <v>1573937406</v>
      </c>
      <c r="AD71" s="0" t="n">
        <v>1588468777</v>
      </c>
    </row>
    <row r="72" customFormat="false" ht="12.8" hidden="false" customHeight="false" outlineLevel="0" collapsed="false">
      <c r="A72" s="0" t="s">
        <v>257</v>
      </c>
      <c r="C72" s="0" t="s">
        <v>79</v>
      </c>
      <c r="E72" s="0" t="s">
        <v>258</v>
      </c>
      <c r="F72" s="0" t="s">
        <v>259</v>
      </c>
      <c r="H72" s="0" t="n">
        <v>1250</v>
      </c>
      <c r="J72" s="0" t="s">
        <v>36</v>
      </c>
      <c r="K72" s="0" t="s">
        <v>36</v>
      </c>
      <c r="L72" s="0" t="s">
        <v>36</v>
      </c>
      <c r="P72" s="0" t="s">
        <v>257</v>
      </c>
      <c r="R72" s="0" t="s">
        <v>260</v>
      </c>
      <c r="S72" s="0" t="s">
        <v>62</v>
      </c>
      <c r="T72" s="0" t="n">
        <v>2</v>
      </c>
      <c r="U72" s="0" t="s">
        <v>63</v>
      </c>
      <c r="Z72" s="0" t="str">
        <f aca="false">HYPERLINK("http://lutemusic.org/composers/Anon/alle_psallite_cum_luya/alle_psallite_cum_luya.ft3")</f>
        <v>http://lutemusic.org/composers/Anon/alle_psallite_cum_luya/alle_psallite_cum_luya.ft3</v>
      </c>
      <c r="AA72" s="0" t="str">
        <f aca="false">HYPERLINK("http://lutemusic.org/composers/Anon/alle_psallite_cum_luya/pdf/alle_psallite_cum_luya.pdf")</f>
        <v>http://lutemusic.org/composers/Anon/alle_psallite_cum_luya/pdf/alle_psallite_cum_luya.pdf</v>
      </c>
      <c r="AB72" s="0" t="str">
        <f aca="false">HYPERLINK("http://lutemusic.org/composers/Anon/alle_psallite_cum_luya/midi/alle_psallite_cum_luya.mid")</f>
        <v>http://lutemusic.org/composers/Anon/alle_psallite_cum_luya/midi/alle_psallite_cum_luya.mid</v>
      </c>
      <c r="AC72" s="0" t="n">
        <v>1573937405</v>
      </c>
      <c r="AD72" s="0" t="n">
        <v>1586042061</v>
      </c>
    </row>
    <row r="73" customFormat="false" ht="12.8" hidden="false" customHeight="false" outlineLevel="0" collapsed="false">
      <c r="A73" s="0" t="s">
        <v>257</v>
      </c>
      <c r="C73" s="0" t="s">
        <v>79</v>
      </c>
      <c r="E73" s="0" t="s">
        <v>258</v>
      </c>
      <c r="F73" s="0" t="s">
        <v>259</v>
      </c>
      <c r="H73" s="0" t="n">
        <v>1250</v>
      </c>
      <c r="J73" s="0" t="s">
        <v>36</v>
      </c>
      <c r="K73" s="0" t="s">
        <v>36</v>
      </c>
      <c r="L73" s="0" t="s">
        <v>36</v>
      </c>
      <c r="P73" s="0" t="s">
        <v>257</v>
      </c>
      <c r="R73" s="0" t="s">
        <v>260</v>
      </c>
      <c r="S73" s="0" t="s">
        <v>62</v>
      </c>
      <c r="T73" s="0" t="n">
        <v>2</v>
      </c>
      <c r="U73" s="0" t="s">
        <v>63</v>
      </c>
      <c r="Z73" s="0" t="str">
        <f aca="false">HYPERLINK("http://lutemusic.org/composers/Anon/alle_psallite_cum_luya/alle_psallite_cum_luya_P.ft3")</f>
        <v>http://lutemusic.org/composers/Anon/alle_psallite_cum_luya/alle_psallite_cum_luya_P.ft3</v>
      </c>
      <c r="AA73" s="0" t="str">
        <f aca="false">HYPERLINK("http://lutemusic.org/composers/Anon/alle_psallite_cum_luya/pdf/alle_psallite_cum_luya_P.pdf")</f>
        <v>http://lutemusic.org/composers/Anon/alle_psallite_cum_luya/pdf/alle_psallite_cum_luya_P.pdf</v>
      </c>
      <c r="AB73" s="0" t="str">
        <f aca="false">HYPERLINK("http://lutemusic.org/composers/Anon/alle_psallite_cum_luya/midi/alle_psallite_cum_luya_P.mid")</f>
        <v>http://lutemusic.org/composers/Anon/alle_psallite_cum_luya/midi/alle_psallite_cum_luya_P.mid</v>
      </c>
      <c r="AC73" s="0" t="n">
        <v>1573937405</v>
      </c>
      <c r="AD73" s="0" t="n">
        <v>1586042061</v>
      </c>
    </row>
    <row r="74" customFormat="false" ht="12.8" hidden="false" customHeight="false" outlineLevel="0" collapsed="false">
      <c r="A74" s="0" t="s">
        <v>261</v>
      </c>
      <c r="C74" s="0" t="s">
        <v>79</v>
      </c>
      <c r="E74" s="0" t="s">
        <v>200</v>
      </c>
      <c r="F74" s="0" t="s">
        <v>201</v>
      </c>
      <c r="H74" s="0" t="n">
        <v>1580</v>
      </c>
      <c r="I74" s="0" t="s">
        <v>262</v>
      </c>
      <c r="J74" s="0" t="s">
        <v>36</v>
      </c>
      <c r="K74" s="0" t="s">
        <v>36</v>
      </c>
      <c r="P74" s="0" t="s">
        <v>261</v>
      </c>
      <c r="R74" s="0" t="s">
        <v>263</v>
      </c>
      <c r="S74" s="0" t="s">
        <v>119</v>
      </c>
      <c r="T74" s="0" t="n">
        <v>2</v>
      </c>
      <c r="U74" s="0" t="s">
        <v>63</v>
      </c>
      <c r="Z74" s="0" t="str">
        <f aca="false">HYPERLINK("http://lutemusic.org/composers/Anon/dances/dance_02.ft3")</f>
        <v>http://lutemusic.org/composers/Anon/dances/dance_02.ft3</v>
      </c>
      <c r="AA74" s="0" t="str">
        <f aca="false">HYPERLINK("http://lutemusic.org/composers/Anon/dances/pdf/dance_02.pdf")</f>
        <v>http://lutemusic.org/composers/Anon/dances/pdf/dance_02.pdf</v>
      </c>
      <c r="AB74" s="0" t="str">
        <f aca="false">HYPERLINK("http://lutemusic.org/composers/Anon/dances/midi/dance_02.mid")</f>
        <v>http://lutemusic.org/composers/Anon/dances/midi/dance_02.mid</v>
      </c>
      <c r="AC74" s="0" t="n">
        <v>1573937405</v>
      </c>
      <c r="AD74" s="0" t="n">
        <v>1586042061</v>
      </c>
    </row>
    <row r="75" customFormat="false" ht="12.8" hidden="false" customHeight="false" outlineLevel="0" collapsed="false">
      <c r="A75" s="0" t="s">
        <v>264</v>
      </c>
      <c r="C75" s="0" t="s">
        <v>79</v>
      </c>
      <c r="E75" s="0" t="s">
        <v>200</v>
      </c>
      <c r="F75" s="0" t="s">
        <v>201</v>
      </c>
      <c r="H75" s="0" t="n">
        <v>1580</v>
      </c>
      <c r="I75" s="0" t="s">
        <v>265</v>
      </c>
      <c r="J75" s="0" t="s">
        <v>36</v>
      </c>
      <c r="K75" s="0" t="s">
        <v>36</v>
      </c>
      <c r="P75" s="0" t="s">
        <v>264</v>
      </c>
      <c r="R75" s="0" t="s">
        <v>263</v>
      </c>
      <c r="S75" s="0" t="s">
        <v>62</v>
      </c>
      <c r="T75" s="0" t="n">
        <v>2</v>
      </c>
      <c r="U75" s="0" t="s">
        <v>63</v>
      </c>
      <c r="Z75" s="0" t="str">
        <f aca="false">HYPERLINK("http://lutemusic.org/composers/Anon/dances/dance_03.ft3")</f>
        <v>http://lutemusic.org/composers/Anon/dances/dance_03.ft3</v>
      </c>
      <c r="AA75" s="0" t="str">
        <f aca="false">HYPERLINK("http://lutemusic.org/composers/Anon/dances/pdf/dance_03.pdf")</f>
        <v>http://lutemusic.org/composers/Anon/dances/pdf/dance_03.pdf</v>
      </c>
      <c r="AB75" s="0" t="str">
        <f aca="false">HYPERLINK("http://lutemusic.org/composers/Anon/dances/midi/dance_03.mid")</f>
        <v>http://lutemusic.org/composers/Anon/dances/midi/dance_03.mid</v>
      </c>
      <c r="AC75" s="0" t="n">
        <v>1573937405</v>
      </c>
      <c r="AD75" s="0" t="n">
        <v>1586042061</v>
      </c>
    </row>
    <row r="76" customFormat="false" ht="12.8" hidden="false" customHeight="false" outlineLevel="0" collapsed="false">
      <c r="A76" s="0" t="s">
        <v>266</v>
      </c>
      <c r="C76" s="0" t="s">
        <v>79</v>
      </c>
      <c r="E76" s="0" t="s">
        <v>200</v>
      </c>
      <c r="F76" s="0" t="s">
        <v>201</v>
      </c>
      <c r="H76" s="0" t="n">
        <v>1580</v>
      </c>
      <c r="I76" s="0" t="s">
        <v>267</v>
      </c>
      <c r="J76" s="0" t="s">
        <v>36</v>
      </c>
      <c r="K76" s="0" t="s">
        <v>36</v>
      </c>
      <c r="P76" s="0" t="s">
        <v>266</v>
      </c>
      <c r="R76" s="0" t="s">
        <v>268</v>
      </c>
      <c r="S76" s="0" t="s">
        <v>49</v>
      </c>
      <c r="T76" s="0" t="n">
        <v>3</v>
      </c>
      <c r="U76" s="0" t="s">
        <v>53</v>
      </c>
      <c r="Z76" s="0" t="str">
        <f aca="false">HYPERLINK("http://lutemusic.org/composers/Anon/dances/dance_04.ft3")</f>
        <v>http://lutemusic.org/composers/Anon/dances/dance_04.ft3</v>
      </c>
      <c r="AA76" s="0" t="str">
        <f aca="false">HYPERLINK("http://lutemusic.org/composers/Anon/dances/pdf/dance_04.pdf")</f>
        <v>http://lutemusic.org/composers/Anon/dances/pdf/dance_04.pdf</v>
      </c>
      <c r="AB76" s="0" t="str">
        <f aca="false">HYPERLINK("http://lutemusic.org/composers/Anon/dances/midi/dance_04.mid")</f>
        <v>http://lutemusic.org/composers/Anon/dances/midi/dance_04.mid</v>
      </c>
      <c r="AC76" s="0" t="n">
        <v>1573937405</v>
      </c>
      <c r="AD76" s="0" t="n">
        <v>1586042061</v>
      </c>
    </row>
    <row r="77" customFormat="false" ht="12.8" hidden="false" customHeight="false" outlineLevel="0" collapsed="false">
      <c r="A77" s="0" t="s">
        <v>269</v>
      </c>
      <c r="C77" s="0" t="s">
        <v>94</v>
      </c>
      <c r="E77" s="0" t="s">
        <v>94</v>
      </c>
      <c r="F77" s="0" t="s">
        <v>106</v>
      </c>
      <c r="H77" s="0" t="n">
        <v>1530</v>
      </c>
      <c r="I77" s="0" t="s">
        <v>270</v>
      </c>
      <c r="J77" s="0" t="s">
        <v>36</v>
      </c>
      <c r="K77" s="0" t="s">
        <v>36</v>
      </c>
      <c r="P77" s="0" t="s">
        <v>269</v>
      </c>
      <c r="R77" s="0" t="s">
        <v>271</v>
      </c>
      <c r="S77" s="0" t="s">
        <v>38</v>
      </c>
      <c r="T77" s="0" t="n">
        <v>2</v>
      </c>
      <c r="U77" s="0" t="s">
        <v>63</v>
      </c>
      <c r="Z77" s="0" t="str">
        <f aca="false">HYPERLINK("http://lutemusic.org/composers/Anon/dances/branles/01_anon_branle_de_poictou_1.ft3")</f>
        <v>http://lutemusic.org/composers/Anon/dances/branles/01_anon_branle_de_poictou_1.ft3</v>
      </c>
      <c r="AA77" s="0" t="str">
        <f aca="false">HYPERLINK("http://lutemusic.org/composers/Anon/dances/branles/pdf/01_anon_branle_de_poictou_1.pdf")</f>
        <v>http://lutemusic.org/composers/Anon/dances/branles/pdf/01_anon_branle_de_poictou_1.pdf</v>
      </c>
      <c r="AB77" s="0" t="str">
        <f aca="false">HYPERLINK("http://lutemusic.org/composers/Anon/dances/branles/midi/01_anon_branle_de_poictou_1.mid")</f>
        <v>http://lutemusic.org/composers/Anon/dances/branles/midi/01_anon_branle_de_poictou_1.mid</v>
      </c>
      <c r="AC77" s="0" t="n">
        <v>1573937405</v>
      </c>
      <c r="AD77" s="0" t="n">
        <v>1593131616</v>
      </c>
    </row>
    <row r="78" customFormat="false" ht="12.8" hidden="false" customHeight="false" outlineLevel="0" collapsed="false">
      <c r="A78" s="0" t="s">
        <v>272</v>
      </c>
      <c r="C78" s="0" t="s">
        <v>94</v>
      </c>
      <c r="E78" s="0" t="s">
        <v>94</v>
      </c>
      <c r="F78" s="0" t="s">
        <v>106</v>
      </c>
      <c r="H78" s="0" t="n">
        <v>1530</v>
      </c>
      <c r="I78" s="0" t="s">
        <v>87</v>
      </c>
      <c r="J78" s="0" t="s">
        <v>36</v>
      </c>
      <c r="K78" s="0" t="s">
        <v>36</v>
      </c>
      <c r="P78" s="0" t="s">
        <v>272</v>
      </c>
      <c r="R78" s="0" t="s">
        <v>273</v>
      </c>
      <c r="S78" s="0" t="s">
        <v>66</v>
      </c>
      <c r="T78" s="0" t="n">
        <v>2</v>
      </c>
      <c r="U78" s="0" t="s">
        <v>63</v>
      </c>
      <c r="Z78" s="0" t="str">
        <f aca="false">HYPERLINK("http://lutemusic.org/composers/Anon/dances/branles/15_anon_branle_simple_2.ft3")</f>
        <v>http://lutemusic.org/composers/Anon/dances/branles/15_anon_branle_simple_2.ft3</v>
      </c>
      <c r="AA78" s="0" t="str">
        <f aca="false">HYPERLINK("http://lutemusic.org/composers/Anon/dances/branles/pdf/15_anon_branle_simple_2.pdf")</f>
        <v>http://lutemusic.org/composers/Anon/dances/branles/pdf/15_anon_branle_simple_2.pdf</v>
      </c>
      <c r="AB78" s="0" t="str">
        <f aca="false">HYPERLINK("http://lutemusic.org/composers/Anon/dances/branles/midi/15_anon_branle_simple_2.mid")</f>
        <v>http://lutemusic.org/composers/Anon/dances/branles/midi/15_anon_branle_simple_2.mid</v>
      </c>
      <c r="AC78" s="0" t="n">
        <v>1573937405</v>
      </c>
      <c r="AD78" s="0" t="n">
        <v>1593131616</v>
      </c>
    </row>
    <row r="79" customFormat="false" ht="12.8" hidden="false" customHeight="false" outlineLevel="0" collapsed="false">
      <c r="A79" s="0" t="s">
        <v>274</v>
      </c>
      <c r="C79" s="0" t="s">
        <v>94</v>
      </c>
      <c r="E79" s="0" t="s">
        <v>94</v>
      </c>
      <c r="F79" s="0" t="s">
        <v>106</v>
      </c>
      <c r="H79" s="0" t="n">
        <v>1530</v>
      </c>
      <c r="I79" s="0" t="s">
        <v>275</v>
      </c>
      <c r="J79" s="0" t="s">
        <v>36</v>
      </c>
      <c r="K79" s="0" t="s">
        <v>36</v>
      </c>
      <c r="P79" s="0" t="s">
        <v>274</v>
      </c>
      <c r="R79" s="0" t="s">
        <v>276</v>
      </c>
      <c r="S79" s="0" t="s">
        <v>152</v>
      </c>
      <c r="T79" s="0" t="n">
        <v>2</v>
      </c>
      <c r="U79" s="0" t="s">
        <v>63</v>
      </c>
      <c r="Z79" s="0" t="str">
        <f aca="false">HYPERLINK("http://lutemusic.org/composers/Anon/dances/branles/75_anon_branle_gay_8.ft3")</f>
        <v>http://lutemusic.org/composers/Anon/dances/branles/75_anon_branle_gay_8.ft3</v>
      </c>
      <c r="AA79" s="0" t="str">
        <f aca="false">HYPERLINK("http://lutemusic.org/composers/Anon/dances/branles/pdf/75_anon_branle_gay_8.pdf")</f>
        <v>http://lutemusic.org/composers/Anon/dances/branles/pdf/75_anon_branle_gay_8.pdf</v>
      </c>
      <c r="AB79" s="0" t="str">
        <f aca="false">HYPERLINK("http://lutemusic.org/composers/Anon/dances/branles/midi/75_anon_branle_gay_8.mid")</f>
        <v>http://lutemusic.org/composers/Anon/dances/branles/midi/75_anon_branle_gay_8.mid</v>
      </c>
      <c r="AC79" s="0" t="n">
        <v>1573937405</v>
      </c>
      <c r="AD79" s="0" t="n">
        <v>1593131616</v>
      </c>
    </row>
    <row r="80" customFormat="false" ht="12.8" hidden="false" customHeight="false" outlineLevel="0" collapsed="false">
      <c r="A80" s="0" t="s">
        <v>277</v>
      </c>
      <c r="C80" s="0" t="s">
        <v>79</v>
      </c>
      <c r="E80" s="0" t="s">
        <v>154</v>
      </c>
      <c r="F80" s="0" t="s">
        <v>69</v>
      </c>
      <c r="H80" s="0" t="n">
        <v>1550</v>
      </c>
      <c r="I80" s="0" t="s">
        <v>278</v>
      </c>
      <c r="J80" s="0" t="s">
        <v>36</v>
      </c>
      <c r="K80" s="0" t="s">
        <v>36</v>
      </c>
      <c r="P80" s="0" t="s">
        <v>277</v>
      </c>
      <c r="R80" s="0" t="s">
        <v>279</v>
      </c>
      <c r="S80" s="0" t="s">
        <v>49</v>
      </c>
      <c r="T80" s="0" t="n">
        <v>3</v>
      </c>
      <c r="U80" s="0" t="s">
        <v>53</v>
      </c>
      <c r="Z80" s="0" t="str">
        <f aca="false">HYPERLINK("http://lutemusic.org/composers/Anon/dances/branles/Branles.ft3")</f>
        <v>http://lutemusic.org/composers/Anon/dances/branles/Branles.ft3</v>
      </c>
      <c r="AA80" s="0" t="str">
        <f aca="false">HYPERLINK("http://lutemusic.org/composers/Anon/dances/branles/pdf/Branles.pdf")</f>
        <v>http://lutemusic.org/composers/Anon/dances/branles/pdf/Branles.pdf</v>
      </c>
      <c r="AB80" s="0" t="str">
        <f aca="false">HYPERLINK("http://lutemusic.org/composers/Anon/dances/branles/midi/Branles.mid")</f>
        <v>http://lutemusic.org/composers/Anon/dances/branles/midi/Branles.mid</v>
      </c>
      <c r="AC80" s="0" t="n">
        <v>1573937405</v>
      </c>
      <c r="AD80" s="0" t="n">
        <v>1586042061</v>
      </c>
    </row>
    <row r="81" customFormat="false" ht="12.8" hidden="false" customHeight="false" outlineLevel="0" collapsed="false">
      <c r="A81" s="0" t="s">
        <v>280</v>
      </c>
      <c r="C81" s="0" t="s">
        <v>79</v>
      </c>
      <c r="E81" s="0" t="s">
        <v>281</v>
      </c>
      <c r="F81" s="0" t="s">
        <v>282</v>
      </c>
      <c r="H81" s="0" t="n">
        <v>1675</v>
      </c>
      <c r="I81" s="0" t="s">
        <v>82</v>
      </c>
      <c r="J81" s="0" t="s">
        <v>36</v>
      </c>
      <c r="K81" s="0" t="s">
        <v>36</v>
      </c>
      <c r="P81" s="0" t="s">
        <v>280</v>
      </c>
      <c r="R81" s="0" t="s">
        <v>283</v>
      </c>
      <c r="S81" s="0" t="s">
        <v>84</v>
      </c>
      <c r="T81" s="0" t="n">
        <v>3</v>
      </c>
      <c r="U81" s="0" t="s">
        <v>85</v>
      </c>
      <c r="Z81" s="0" t="str">
        <f aca="false">HYPERLINK("http://lutemusic.org/composers/Anon/dances/courants/Courante_G-Dur.ft3")</f>
        <v>http://lutemusic.org/composers/Anon/dances/courants/Courante_G-Dur.ft3</v>
      </c>
      <c r="AA81" s="0" t="str">
        <f aca="false">HYPERLINK("http://lutemusic.org/composers/Anon/dances/courants/pdf/Courante_G-Dur.pdf")</f>
        <v>http://lutemusic.org/composers/Anon/dances/courants/pdf/Courante_G-Dur.pdf</v>
      </c>
      <c r="AB81" s="0" t="str">
        <f aca="false">HYPERLINK("http://lutemusic.org/composers/Anon/dances/courants/midi/Courante_G-Dur.mid")</f>
        <v>http://lutemusic.org/composers/Anon/dances/courants/midi/Courante_G-Dur.mid</v>
      </c>
      <c r="AC81" s="0" t="n">
        <v>1573937405</v>
      </c>
      <c r="AD81" s="0" t="n">
        <v>1586042061</v>
      </c>
    </row>
    <row r="82" customFormat="false" ht="12.8" hidden="false" customHeight="false" outlineLevel="0" collapsed="false">
      <c r="A82" s="0" t="s">
        <v>284</v>
      </c>
      <c r="C82" s="0" t="s">
        <v>79</v>
      </c>
      <c r="E82" s="0" t="s">
        <v>74</v>
      </c>
      <c r="F82" s="0" t="s">
        <v>285</v>
      </c>
      <c r="H82" s="0" t="n">
        <v>1600</v>
      </c>
      <c r="I82" s="0" t="s">
        <v>286</v>
      </c>
      <c r="J82" s="0" t="s">
        <v>36</v>
      </c>
      <c r="K82" s="0" t="s">
        <v>36</v>
      </c>
      <c r="P82" s="0" t="s">
        <v>284</v>
      </c>
      <c r="R82" s="0" t="s">
        <v>283</v>
      </c>
      <c r="S82" s="0" t="s">
        <v>49</v>
      </c>
      <c r="T82" s="0" t="n">
        <v>2</v>
      </c>
      <c r="U82" s="0" t="s">
        <v>53</v>
      </c>
      <c r="Y82" s="0" t="str">
        <f aca="false">HYPERLINK("http://lutemusic.org/facsimiles/GB-Cu_Cambridge_University_Library/Dd.9.33c_1600/57v.png")</f>
        <v>http://lutemusic.org/facsimiles/GB-Cu_Cambridge_University_Library/Dd.9.33c_1600/57v.png</v>
      </c>
      <c r="Z82" s="0" t="str">
        <f aca="false">HYPERLINK("http://lutemusic.org/composers/Anon/dances/currants/anon_currant_1.ft3")</f>
        <v>http://lutemusic.org/composers/Anon/dances/currants/anon_currant_1.ft3</v>
      </c>
      <c r="AA82" s="0" t="str">
        <f aca="false">HYPERLINK("http://lutemusic.org/composers/Anon/dances/currants/pdf/anon_currant_1.pdf")</f>
        <v>http://lutemusic.org/composers/Anon/dances/currants/pdf/anon_currant_1.pdf</v>
      </c>
      <c r="AB82" s="0" t="str">
        <f aca="false">HYPERLINK("http://lutemusic.org/composers/Anon/dances/currants/midi/anon_currant_1.mid")</f>
        <v>http://lutemusic.org/composers/Anon/dances/currants/midi/anon_currant_1.mid</v>
      </c>
      <c r="AC82" s="0" t="n">
        <v>1573937405</v>
      </c>
      <c r="AD82" s="0" t="n">
        <v>1586042061</v>
      </c>
    </row>
    <row r="83" customFormat="false" ht="12.8" hidden="false" customHeight="false" outlineLevel="0" collapsed="false">
      <c r="A83" s="0" t="s">
        <v>287</v>
      </c>
      <c r="C83" s="0" t="s">
        <v>79</v>
      </c>
      <c r="E83" s="0" t="s">
        <v>33</v>
      </c>
      <c r="F83" s="0" t="s">
        <v>288</v>
      </c>
      <c r="H83" s="0" t="n">
        <v>1620</v>
      </c>
      <c r="I83" s="0" t="s">
        <v>289</v>
      </c>
      <c r="J83" s="0" t="s">
        <v>36</v>
      </c>
      <c r="K83" s="0" t="s">
        <v>36</v>
      </c>
      <c r="P83" s="0" t="s">
        <v>287</v>
      </c>
      <c r="R83" s="0" t="s">
        <v>283</v>
      </c>
      <c r="S83" s="0" t="s">
        <v>49</v>
      </c>
      <c r="T83" s="0" t="n">
        <v>3</v>
      </c>
      <c r="U83" s="0" t="s">
        <v>244</v>
      </c>
      <c r="Y83" s="0" t="str">
        <f aca="false">HYPERLINK("http://lutemusic.org/facsimiles/GB-Lbl_British_Library/ms_Add_38539_John_Sturt_lute_book_1620/03.png")</f>
        <v>http://lutemusic.org/facsimiles/GB-Lbl_British_Library/ms_Add_38539_John_Sturt_lute_book_1620/03.png</v>
      </c>
      <c r="Z83" s="0" t="str">
        <f aca="false">HYPERLINK("http://lutemusic.org/composers/Anon/dances/currants/anon_currant_2.ft3")</f>
        <v>http://lutemusic.org/composers/Anon/dances/currants/anon_currant_2.ft3</v>
      </c>
      <c r="AA83" s="0" t="str">
        <f aca="false">HYPERLINK("http://lutemusic.org/composers/Anon/dances/currants/pdf/anon_currant_2.pdf")</f>
        <v>http://lutemusic.org/composers/Anon/dances/currants/pdf/anon_currant_2.pdf</v>
      </c>
      <c r="AB83" s="0" t="str">
        <f aca="false">HYPERLINK("http://lutemusic.org/composers/Anon/dances/currants/midi/anon_currant_2.mid")</f>
        <v>http://lutemusic.org/composers/Anon/dances/currants/midi/anon_currant_2.mid</v>
      </c>
      <c r="AC83" s="0" t="n">
        <v>1573937405</v>
      </c>
      <c r="AD83" s="0" t="n">
        <v>1588630195</v>
      </c>
    </row>
    <row r="84" customFormat="false" ht="12.8" hidden="false" customHeight="false" outlineLevel="0" collapsed="false">
      <c r="A84" s="0" t="s">
        <v>290</v>
      </c>
      <c r="C84" s="0" t="s">
        <v>79</v>
      </c>
      <c r="E84" s="0" t="s">
        <v>291</v>
      </c>
      <c r="F84" s="0" t="s">
        <v>292</v>
      </c>
      <c r="H84" s="0" t="n">
        <v>1620</v>
      </c>
      <c r="I84" s="0" t="s">
        <v>293</v>
      </c>
      <c r="J84" s="0" t="s">
        <v>36</v>
      </c>
      <c r="K84" s="0" t="s">
        <v>36</v>
      </c>
      <c r="P84" s="0" t="s">
        <v>290</v>
      </c>
      <c r="R84" s="0" t="s">
        <v>283</v>
      </c>
      <c r="S84" s="0" t="s">
        <v>49</v>
      </c>
      <c r="T84" s="0" t="n">
        <v>3</v>
      </c>
      <c r="U84" s="0" t="s">
        <v>53</v>
      </c>
      <c r="Z84" s="0" t="str">
        <f aca="false">HYPERLINK("http://lutemusic.org/composers/Anon/dances/currants/anon_currant_3.ft3")</f>
        <v>http://lutemusic.org/composers/Anon/dances/currants/anon_currant_3.ft3</v>
      </c>
      <c r="AA84" s="0" t="str">
        <f aca="false">HYPERLINK("http://lutemusic.org/composers/Anon/dances/currants/pdf/anon_currant_3.pdf")</f>
        <v>http://lutemusic.org/composers/Anon/dances/currants/pdf/anon_currant_3.pdf</v>
      </c>
      <c r="AB84" s="0" t="str">
        <f aca="false">HYPERLINK("http://lutemusic.org/composers/Anon/dances/currants/midi/anon_currant_3.mid")</f>
        <v>http://lutemusic.org/composers/Anon/dances/currants/midi/anon_currant_3.mid</v>
      </c>
      <c r="AC84" s="0" t="n">
        <v>1573937405</v>
      </c>
      <c r="AD84" s="0" t="n">
        <v>1586042061</v>
      </c>
    </row>
    <row r="85" customFormat="false" ht="12.8" hidden="false" customHeight="false" outlineLevel="0" collapsed="false">
      <c r="A85" s="0" t="s">
        <v>294</v>
      </c>
      <c r="C85" s="0" t="s">
        <v>79</v>
      </c>
      <c r="E85" s="0" t="s">
        <v>154</v>
      </c>
      <c r="F85" s="0" t="s">
        <v>295</v>
      </c>
      <c r="H85" s="0" t="n">
        <v>1350</v>
      </c>
      <c r="I85" s="0" t="s">
        <v>265</v>
      </c>
      <c r="J85" s="0" t="s">
        <v>36</v>
      </c>
      <c r="K85" s="0" t="s">
        <v>36</v>
      </c>
      <c r="P85" s="0" t="s">
        <v>296</v>
      </c>
      <c r="R85" s="0" t="s">
        <v>297</v>
      </c>
      <c r="S85" s="0" t="s">
        <v>49</v>
      </c>
      <c r="T85" s="0" t="n">
        <v>2</v>
      </c>
      <c r="U85" s="0" t="s">
        <v>63</v>
      </c>
      <c r="Z85" s="0" t="str">
        <f aca="false">HYPERLINK("http://lutemusic.org/composers/Anon/dances/estampies/estampida.ft3")</f>
        <v>http://lutemusic.org/composers/Anon/dances/estampies/estampida.ft3</v>
      </c>
      <c r="AA85" s="0" t="str">
        <f aca="false">HYPERLINK("http://lutemusic.org/composers/Anon/dances/estampies/pdf/estampida.pdf")</f>
        <v>http://lutemusic.org/composers/Anon/dances/estampies/pdf/estampida.pdf</v>
      </c>
      <c r="AB85" s="0" t="str">
        <f aca="false">HYPERLINK("http://lutemusic.org/composers/Anon/dances/estampies/midi/estampida.mid")</f>
        <v>http://lutemusic.org/composers/Anon/dances/estampies/midi/estampida.mid</v>
      </c>
      <c r="AC85" s="0" t="n">
        <v>1573937405</v>
      </c>
      <c r="AD85" s="0" t="n">
        <v>1586042061</v>
      </c>
    </row>
    <row r="86" customFormat="false" ht="12.8" hidden="false" customHeight="false" outlineLevel="0" collapsed="false">
      <c r="A86" s="0" t="s">
        <v>298</v>
      </c>
      <c r="C86" s="0" t="s">
        <v>79</v>
      </c>
      <c r="E86" s="0" t="s">
        <v>154</v>
      </c>
      <c r="F86" s="0" t="s">
        <v>295</v>
      </c>
      <c r="H86" s="0" t="n">
        <v>1350</v>
      </c>
      <c r="I86" s="0" t="s">
        <v>35</v>
      </c>
      <c r="J86" s="0" t="s">
        <v>36</v>
      </c>
      <c r="K86" s="0" t="s">
        <v>36</v>
      </c>
      <c r="P86" s="0" t="s">
        <v>298</v>
      </c>
      <c r="R86" s="0" t="s">
        <v>297</v>
      </c>
      <c r="S86" s="0" t="s">
        <v>49</v>
      </c>
      <c r="T86" s="0" t="n">
        <v>2</v>
      </c>
      <c r="U86" s="0" t="s">
        <v>63</v>
      </c>
      <c r="Z86" s="0" t="str">
        <f aca="false">HYPERLINK("http://lutemusic.org/composers/Anon/dances/estampies/estampida_01.ft3")</f>
        <v>http://lutemusic.org/composers/Anon/dances/estampies/estampida_01.ft3</v>
      </c>
      <c r="AA86" s="0" t="str">
        <f aca="false">HYPERLINK("http://lutemusic.org/composers/Anon/dances/estampies/pdf/estampida_01.pdf")</f>
        <v>http://lutemusic.org/composers/Anon/dances/estampies/pdf/estampida_01.pdf</v>
      </c>
      <c r="AB86" s="0" t="str">
        <f aca="false">HYPERLINK("http://lutemusic.org/composers/Anon/dances/estampies/midi/estampida_01.mid")</f>
        <v>http://lutemusic.org/composers/Anon/dances/estampies/midi/estampida_01.mid</v>
      </c>
      <c r="AC86" s="0" t="n">
        <v>1573937405</v>
      </c>
      <c r="AD86" s="0" t="n">
        <v>1586042061</v>
      </c>
    </row>
    <row r="87" customFormat="false" ht="12.8" hidden="false" customHeight="false" outlineLevel="0" collapsed="false">
      <c r="A87" s="0" t="s">
        <v>299</v>
      </c>
      <c r="C87" s="0" t="s">
        <v>79</v>
      </c>
      <c r="E87" s="0" t="s">
        <v>154</v>
      </c>
      <c r="F87" s="0" t="s">
        <v>295</v>
      </c>
      <c r="H87" s="0" t="n">
        <v>1350</v>
      </c>
      <c r="I87" s="0" t="s">
        <v>262</v>
      </c>
      <c r="J87" s="0" t="s">
        <v>36</v>
      </c>
      <c r="K87" s="0" t="s">
        <v>36</v>
      </c>
      <c r="P87" s="0" t="s">
        <v>299</v>
      </c>
      <c r="R87" s="0" t="s">
        <v>297</v>
      </c>
      <c r="S87" s="0" t="s">
        <v>84</v>
      </c>
      <c r="T87" s="0" t="n">
        <v>2</v>
      </c>
      <c r="U87" s="0" t="s">
        <v>63</v>
      </c>
      <c r="Z87" s="0" t="str">
        <f aca="false">HYPERLINK("http://lutemusic.org/composers/Anon/dances/estampies/estampida_02.ft3")</f>
        <v>http://lutemusic.org/composers/Anon/dances/estampies/estampida_02.ft3</v>
      </c>
      <c r="AA87" s="0" t="str">
        <f aca="false">HYPERLINK("http://lutemusic.org/composers/Anon/dances/estampies/pdf/estampida_02.pdf")</f>
        <v>http://lutemusic.org/composers/Anon/dances/estampies/pdf/estampida_02.pdf</v>
      </c>
      <c r="AB87" s="0" t="str">
        <f aca="false">HYPERLINK("http://lutemusic.org/composers/Anon/dances/estampies/midi/estampida_02.mid")</f>
        <v>http://lutemusic.org/composers/Anon/dances/estampies/midi/estampida_02.mid</v>
      </c>
      <c r="AC87" s="0" t="n">
        <v>1573937405</v>
      </c>
      <c r="AD87" s="0" t="n">
        <v>1586042061</v>
      </c>
    </row>
    <row r="88" customFormat="false" ht="12.8" hidden="false" customHeight="false" outlineLevel="0" collapsed="false">
      <c r="A88" s="0" t="s">
        <v>300</v>
      </c>
      <c r="C88" s="0" t="s">
        <v>79</v>
      </c>
      <c r="E88" s="0" t="s">
        <v>171</v>
      </c>
      <c r="F88" s="0" t="s">
        <v>301</v>
      </c>
      <c r="H88" s="0" t="n">
        <v>1601</v>
      </c>
      <c r="I88" s="0" t="s">
        <v>302</v>
      </c>
      <c r="J88" s="0" t="s">
        <v>36</v>
      </c>
      <c r="K88" s="0" t="s">
        <v>36</v>
      </c>
      <c r="P88" s="0" t="s">
        <v>300</v>
      </c>
      <c r="R88" s="0" t="s">
        <v>303</v>
      </c>
      <c r="S88" s="0" t="s">
        <v>175</v>
      </c>
      <c r="T88" s="0" t="n">
        <v>3</v>
      </c>
      <c r="U88" s="0" t="s">
        <v>53</v>
      </c>
      <c r="Y88" s="0" t="str">
        <f aca="false">HYPERLINK("http://lutemusic.org/facsimiles/HoveJ/Florida_1601/082.png")</f>
        <v>http://lutemusic.org/facsimiles/HoveJ/Florida_1601/082.png</v>
      </c>
      <c r="Z88" s="0" t="str">
        <f aca="false">HYPERLINK("http://lutemusic.org/composers/Anon/dances/galliards/alio_galliard.ft3")</f>
        <v>http://lutemusic.org/composers/Anon/dances/galliards/alio_galliard.ft3</v>
      </c>
      <c r="AA88" s="0" t="str">
        <f aca="false">HYPERLINK("http://lutemusic.org/composers/Anon/dances/galliards/pdf/alio_galliard.pdf")</f>
        <v>http://lutemusic.org/composers/Anon/dances/galliards/pdf/alio_galliard.pdf</v>
      </c>
      <c r="AB88" s="0" t="str">
        <f aca="false">HYPERLINK("http://lutemusic.org/composers/Anon/dances/galliards/midi/alio_galliard.mid")</f>
        <v>http://lutemusic.org/composers/Anon/dances/galliards/midi/alio_galliard.mid</v>
      </c>
      <c r="AC88" s="0" t="n">
        <v>1573937405</v>
      </c>
      <c r="AD88" s="0" t="n">
        <v>1622249217</v>
      </c>
    </row>
    <row r="89" customFormat="false" ht="12.8" hidden="false" customHeight="false" outlineLevel="0" collapsed="false">
      <c r="A89" s="0" t="s">
        <v>303</v>
      </c>
      <c r="C89" s="0" t="s">
        <v>79</v>
      </c>
      <c r="E89" s="0" t="s">
        <v>154</v>
      </c>
      <c r="F89" s="0" t="s">
        <v>69</v>
      </c>
      <c r="H89" s="0" t="n">
        <v>1600</v>
      </c>
      <c r="I89" s="0" t="s">
        <v>304</v>
      </c>
      <c r="J89" s="0" t="s">
        <v>36</v>
      </c>
      <c r="K89" s="0" t="s">
        <v>36</v>
      </c>
      <c r="P89" s="0" t="s">
        <v>303</v>
      </c>
      <c r="R89" s="0" t="s">
        <v>303</v>
      </c>
      <c r="S89" s="0" t="s">
        <v>84</v>
      </c>
      <c r="T89" s="0" t="n">
        <v>3</v>
      </c>
      <c r="U89" s="0" t="s">
        <v>63</v>
      </c>
      <c r="Z89" s="0" t="str">
        <f aca="false">HYPERLINK("http://lutemusic.org/composers/Anon/dances/galliards/anonymous_galliard.ft3")</f>
        <v>http://lutemusic.org/composers/Anon/dances/galliards/anonymous_galliard.ft3</v>
      </c>
      <c r="AA89" s="0" t="str">
        <f aca="false">HYPERLINK("http://lutemusic.org/composers/Anon/dances/galliards/pdf/anonymous_galliard.pdf")</f>
        <v>http://lutemusic.org/composers/Anon/dances/galliards/pdf/anonymous_galliard.pdf</v>
      </c>
      <c r="AB89" s="0" t="str">
        <f aca="false">HYPERLINK("http://lutemusic.org/composers/Anon/dances/galliards/midi/anonymous_galliard.mid")</f>
        <v>http://lutemusic.org/composers/Anon/dances/galliards/midi/anonymous_galliard.mid</v>
      </c>
      <c r="AC89" s="0" t="n">
        <v>1573937405</v>
      </c>
      <c r="AD89" s="0" t="n">
        <v>1586042061</v>
      </c>
    </row>
    <row r="90" customFormat="false" ht="12.8" hidden="false" customHeight="false" outlineLevel="0" collapsed="false">
      <c r="A90" s="0" t="s">
        <v>303</v>
      </c>
      <c r="C90" s="0" t="s">
        <v>79</v>
      </c>
      <c r="E90" s="0" t="s">
        <v>74</v>
      </c>
      <c r="F90" s="0" t="s">
        <v>159</v>
      </c>
      <c r="H90" s="0" t="n">
        <v>1600</v>
      </c>
      <c r="I90" s="0" t="s">
        <v>139</v>
      </c>
      <c r="J90" s="0" t="s">
        <v>36</v>
      </c>
      <c r="K90" s="0" t="s">
        <v>36</v>
      </c>
      <c r="P90" s="0" t="s">
        <v>303</v>
      </c>
      <c r="R90" s="0" t="s">
        <v>303</v>
      </c>
      <c r="S90" s="0" t="s">
        <v>38</v>
      </c>
      <c r="T90" s="0" t="n">
        <v>2</v>
      </c>
      <c r="U90" s="0" t="s">
        <v>63</v>
      </c>
      <c r="Y90" s="0" t="str">
        <f aca="false">HYPERLINK("http://lutemusic.org/facsimiles/GB-Cu_Cambridge_University_Library/Dd.2.11b_1600/001.png")</f>
        <v>http://lutemusic.org/facsimiles/GB-Cu_Cambridge_University_Library/Dd.2.11b_1600/001.png</v>
      </c>
      <c r="Z90" s="0" t="str">
        <f aca="false">HYPERLINK("http://lutemusic.org/composers/Anon/dances/galliards/anon_galliard.ft3")</f>
        <v>http://lutemusic.org/composers/Anon/dances/galliards/anon_galliard.ft3</v>
      </c>
      <c r="AA90" s="0" t="str">
        <f aca="false">HYPERLINK("http://lutemusic.org/composers/Anon/dances/galliards/pdf/anon_galliard.pdf")</f>
        <v>http://lutemusic.org/composers/Anon/dances/galliards/pdf/anon_galliard.pdf</v>
      </c>
      <c r="AB90" s="0" t="str">
        <f aca="false">HYPERLINK("http://lutemusic.org/composers/Anon/dances/galliards/midi/anon_galliard.mid")</f>
        <v>http://lutemusic.org/composers/Anon/dances/galliards/midi/anon_galliard.mid</v>
      </c>
      <c r="AC90" s="0" t="n">
        <v>1573937405</v>
      </c>
      <c r="AD90" s="0" t="n">
        <v>1586042061</v>
      </c>
    </row>
    <row r="91" customFormat="false" ht="12.8" hidden="false" customHeight="false" outlineLevel="0" collapsed="false">
      <c r="A91" s="0" t="s">
        <v>303</v>
      </c>
      <c r="C91" s="0" t="s">
        <v>79</v>
      </c>
      <c r="E91" s="0" t="s">
        <v>200</v>
      </c>
      <c r="F91" s="0" t="s">
        <v>201</v>
      </c>
      <c r="H91" s="0" t="n">
        <v>1580</v>
      </c>
      <c r="I91" s="0" t="s">
        <v>305</v>
      </c>
      <c r="J91" s="0" t="s">
        <v>36</v>
      </c>
      <c r="K91" s="0" t="s">
        <v>36</v>
      </c>
      <c r="P91" s="0" t="s">
        <v>303</v>
      </c>
      <c r="R91" s="0" t="s">
        <v>303</v>
      </c>
      <c r="S91" s="0" t="s">
        <v>49</v>
      </c>
      <c r="T91" s="0" t="n">
        <v>2</v>
      </c>
      <c r="U91" s="0" t="s">
        <v>53</v>
      </c>
      <c r="Z91" s="0" t="str">
        <f aca="false">HYPERLINK("http://lutemusic.org/composers/Anon/dances/galliards/gagliarda.ft3")</f>
        <v>http://lutemusic.org/composers/Anon/dances/galliards/gagliarda.ft3</v>
      </c>
      <c r="AA91" s="0" t="str">
        <f aca="false">HYPERLINK("http://lutemusic.org/composers/Anon/dances/galliards/pdf/gagliarda.pdf")</f>
        <v>http://lutemusic.org/composers/Anon/dances/galliards/pdf/gagliarda.pdf</v>
      </c>
      <c r="AB91" s="0" t="str">
        <f aca="false">HYPERLINK("http://lutemusic.org/composers/Anon/dances/galliards/midi/gagliarda.mid")</f>
        <v>http://lutemusic.org/composers/Anon/dances/galliards/midi/gagliarda.mid</v>
      </c>
      <c r="AC91" s="0" t="n">
        <v>1573937405</v>
      </c>
      <c r="AD91" s="0" t="n">
        <v>1586042061</v>
      </c>
    </row>
    <row r="92" customFormat="false" ht="12.8" hidden="false" customHeight="false" outlineLevel="0" collapsed="false">
      <c r="A92" s="0" t="s">
        <v>303</v>
      </c>
      <c r="C92" s="0" t="s">
        <v>79</v>
      </c>
      <c r="E92" s="0" t="s">
        <v>33</v>
      </c>
      <c r="F92" s="0" t="s">
        <v>148</v>
      </c>
      <c r="H92" s="0" t="s">
        <v>149</v>
      </c>
      <c r="I92" s="0" t="s">
        <v>306</v>
      </c>
      <c r="J92" s="0" t="s">
        <v>36</v>
      </c>
      <c r="K92" s="0" t="s">
        <v>36</v>
      </c>
      <c r="P92" s="0" t="s">
        <v>303</v>
      </c>
      <c r="R92" s="0" t="s">
        <v>303</v>
      </c>
      <c r="S92" s="0" t="s">
        <v>38</v>
      </c>
      <c r="T92" s="0" t="n">
        <v>3</v>
      </c>
      <c r="U92" s="0" t="s">
        <v>63</v>
      </c>
      <c r="Y92" s="0" t="str">
        <f aca="false">HYPERLINK("http://lutemusic.org/facsimiles/GB-Lbl_British_Library/ms_M1353_Hirsch_lute_book_c.1595/03.png")</f>
        <v>http://lutemusic.org/facsimiles/GB-Lbl_British_Library/ms_M1353_Hirsch_lute_book_c.1595/03.png</v>
      </c>
      <c r="Z92" s="0" t="str">
        <f aca="false">HYPERLINK("http://lutemusic.org/composers/Anon/dances/galliards/galliard_hlb3r.ft3")</f>
        <v>http://lutemusic.org/composers/Anon/dances/galliards/galliard_hlb3r.ft3</v>
      </c>
      <c r="AA92" s="0" t="str">
        <f aca="false">HYPERLINK("http://lutemusic.org/composers/Anon/dances/galliards/pdf/galliard_hlb3r.pdf")</f>
        <v>http://lutemusic.org/composers/Anon/dances/galliards/pdf/galliard_hlb3r.pdf</v>
      </c>
      <c r="AB92" s="0" t="str">
        <f aca="false">HYPERLINK("http://lutemusic.org/composers/Anon/dances/galliards/midi/galliard_hlb3r.mid")</f>
        <v>http://lutemusic.org/composers/Anon/dances/galliards/midi/galliard_hlb3r.mid</v>
      </c>
      <c r="AC92" s="0" t="n">
        <v>1573937405</v>
      </c>
      <c r="AD92" s="0" t="n">
        <v>1588468778</v>
      </c>
    </row>
    <row r="93" customFormat="false" ht="12.8" hidden="false" customHeight="false" outlineLevel="0" collapsed="false">
      <c r="A93" s="0" t="s">
        <v>303</v>
      </c>
      <c r="C93" s="0" t="s">
        <v>79</v>
      </c>
      <c r="E93" s="0" t="s">
        <v>33</v>
      </c>
      <c r="F93" s="0" t="s">
        <v>148</v>
      </c>
      <c r="H93" s="0" t="s">
        <v>149</v>
      </c>
      <c r="I93" s="0" t="s">
        <v>76</v>
      </c>
      <c r="J93" s="0" t="s">
        <v>36</v>
      </c>
      <c r="K93" s="0" t="s">
        <v>36</v>
      </c>
      <c r="P93" s="0" t="s">
        <v>303</v>
      </c>
      <c r="R93" s="0" t="s">
        <v>303</v>
      </c>
      <c r="S93" s="0" t="s">
        <v>152</v>
      </c>
      <c r="T93" s="0" t="n">
        <v>3</v>
      </c>
      <c r="U93" s="0" t="s">
        <v>63</v>
      </c>
      <c r="Y93" s="0" t="str">
        <f aca="false">HYPERLINK("http://lutemusic.org/facsimiles/GB-Lbl_British_Library/ms_M1353_Hirsch_lute_book_c.1595/04.png")</f>
        <v>http://lutemusic.org/facsimiles/GB-Lbl_British_Library/ms_M1353_Hirsch_lute_book_c.1595/04.png</v>
      </c>
      <c r="Z93" s="0" t="str">
        <f aca="false">HYPERLINK("http://lutemusic.org/composers/Anon/dances/galliards/galliard_hlb_4r.ft3")</f>
        <v>http://lutemusic.org/composers/Anon/dances/galliards/galliard_hlb_4r.ft3</v>
      </c>
      <c r="AA93" s="0" t="str">
        <f aca="false">HYPERLINK("http://lutemusic.org/composers/Anon/dances/galliards/pdf/galliard_hlb_4r.pdf")</f>
        <v>http://lutemusic.org/composers/Anon/dances/galliards/pdf/galliard_hlb_4r.pdf</v>
      </c>
      <c r="AB93" s="0" t="str">
        <f aca="false">HYPERLINK("http://lutemusic.org/composers/Anon/dances/galliards/midi/galliard_hlb_4r.mid")</f>
        <v>http://lutemusic.org/composers/Anon/dances/galliards/midi/galliard_hlb_4r.mid</v>
      </c>
      <c r="AC93" s="0" t="n">
        <v>1573937405</v>
      </c>
      <c r="AD93" s="0" t="n">
        <v>1588468778</v>
      </c>
    </row>
    <row r="94" customFormat="false" ht="12.8" hidden="false" customHeight="false" outlineLevel="0" collapsed="false">
      <c r="A94" s="0" t="s">
        <v>307</v>
      </c>
      <c r="C94" s="0" t="s">
        <v>79</v>
      </c>
      <c r="E94" s="0" t="s">
        <v>185</v>
      </c>
      <c r="F94" s="0" t="s">
        <v>212</v>
      </c>
      <c r="H94" s="0" t="n">
        <v>1599</v>
      </c>
      <c r="I94" s="0" t="s">
        <v>308</v>
      </c>
      <c r="J94" s="0" t="s">
        <v>36</v>
      </c>
      <c r="K94" s="0" t="s">
        <v>36</v>
      </c>
      <c r="P94" s="0" t="s">
        <v>307</v>
      </c>
      <c r="R94" s="0" t="s">
        <v>303</v>
      </c>
      <c r="S94" s="0" t="s">
        <v>66</v>
      </c>
      <c r="T94" s="0" t="n">
        <v>2</v>
      </c>
      <c r="U94" s="0" t="s">
        <v>63</v>
      </c>
      <c r="Y94" s="0" t="str">
        <f aca="false">HYPERLINK("http://lutemusic.org/facsimiles/GB-Lspencer_Private_Library_of_Robert_Spencer/Mynshall_lute_book_1599/08v.png")</f>
        <v>http://lutemusic.org/facsimiles/GB-Lspencer_Private_Library_of_Robert_Spencer/Mynshall_lute_book_1599/08v.png</v>
      </c>
      <c r="Z94" s="0" t="str">
        <f aca="false">HYPERLINK("http://lutemusic.org/composers/Anon/dances/galliards/passymeasures_galliard.ft3")</f>
        <v>http://lutemusic.org/composers/Anon/dances/galliards/passymeasures_galliard.ft3</v>
      </c>
      <c r="AA94" s="0" t="str">
        <f aca="false">HYPERLINK("http://lutemusic.org/composers/Anon/dances/galliards/pdf/passymeasures_galliard.pdf")</f>
        <v>http://lutemusic.org/composers/Anon/dances/galliards/pdf/passymeasures_galliard.pdf</v>
      </c>
      <c r="AB94" s="0" t="str">
        <f aca="false">HYPERLINK("http://lutemusic.org/composers/Anon/dances/galliards/midi/passymeasures_galliard.mid")</f>
        <v>http://lutemusic.org/composers/Anon/dances/galliards/midi/passymeasures_galliard.mid</v>
      </c>
      <c r="AC94" s="0" t="n">
        <v>1573937405</v>
      </c>
      <c r="AD94" s="0" t="n">
        <v>1588468778</v>
      </c>
    </row>
    <row r="95" customFormat="false" ht="12.8" hidden="false" customHeight="false" outlineLevel="0" collapsed="false">
      <c r="A95" s="0" t="s">
        <v>309</v>
      </c>
      <c r="C95" s="0" t="s">
        <v>79</v>
      </c>
      <c r="E95" s="0" t="s">
        <v>74</v>
      </c>
      <c r="F95" s="0" t="s">
        <v>159</v>
      </c>
      <c r="H95" s="0" t="n">
        <v>1600</v>
      </c>
      <c r="I95" s="0" t="s">
        <v>310</v>
      </c>
      <c r="J95" s="0" t="s">
        <v>36</v>
      </c>
      <c r="K95" s="0" t="s">
        <v>36</v>
      </c>
      <c r="P95" s="0" t="s">
        <v>309</v>
      </c>
      <c r="R95" s="0" t="s">
        <v>303</v>
      </c>
      <c r="S95" s="0" t="s">
        <v>49</v>
      </c>
      <c r="T95" s="0" t="n">
        <v>3</v>
      </c>
      <c r="U95" s="0" t="s">
        <v>63</v>
      </c>
      <c r="Y95" s="0" t="str">
        <f aca="false">HYPERLINK("http://lutemusic.org/facsimiles/GB-Cu_Cambridge_University_Library/Dd.2.11b_1600/068.png")</f>
        <v>http://lutemusic.org/facsimiles/GB-Cu_Cambridge_University_Library/Dd.2.11b_1600/068.png</v>
      </c>
      <c r="Z95" s="0" t="str">
        <f aca="false">HYPERLINK("http://lutemusic.org/composers/Anon/dances/galliards/southwell_s_galliard.ft3")</f>
        <v>http://lutemusic.org/composers/Anon/dances/galliards/southwell_s_galliard.ft3</v>
      </c>
      <c r="AA95" s="0" t="str">
        <f aca="false">HYPERLINK("http://lutemusic.org/composers/Anon/dances/galliards/pdf/southwell_s_galliard.pdf")</f>
        <v>http://lutemusic.org/composers/Anon/dances/galliards/pdf/southwell_s_galliard.pdf</v>
      </c>
      <c r="AB95" s="0" t="str">
        <f aca="false">HYPERLINK("http://lutemusic.org/composers/Anon/dances/galliards/midi/southwell_s_galliard.mid")</f>
        <v>http://lutemusic.org/composers/Anon/dances/galliards/midi/southwell_s_galliard.mid</v>
      </c>
      <c r="AC95" s="0" t="n">
        <v>1573937405</v>
      </c>
      <c r="AD95" s="0" t="n">
        <v>1586042061</v>
      </c>
    </row>
    <row r="96" customFormat="false" ht="12.8" hidden="false" customHeight="false" outlineLevel="0" collapsed="false">
      <c r="A96" s="0" t="s">
        <v>311</v>
      </c>
      <c r="C96" s="0" t="s">
        <v>312</v>
      </c>
      <c r="E96" s="0" t="s">
        <v>313</v>
      </c>
      <c r="F96" s="0" t="s">
        <v>314</v>
      </c>
      <c r="H96" s="0" t="n">
        <v>1575</v>
      </c>
      <c r="I96" s="0" t="s">
        <v>315</v>
      </c>
      <c r="J96" s="0" t="s">
        <v>36</v>
      </c>
      <c r="K96" s="0" t="s">
        <v>36</v>
      </c>
      <c r="P96" s="0" t="s">
        <v>311</v>
      </c>
      <c r="R96" s="0" t="s">
        <v>303</v>
      </c>
      <c r="S96" s="0" t="s">
        <v>38</v>
      </c>
      <c r="T96" s="0" t="n">
        <v>3</v>
      </c>
      <c r="U96" s="0" t="s">
        <v>63</v>
      </c>
      <c r="Z96" s="0" t="str">
        <f aca="false">HYPERLINK("http://lutemusic.org/composers/Anon/dances/galliards/thysius_galliarda_la_gamba.ft3")</f>
        <v>http://lutemusic.org/composers/Anon/dances/galliards/thysius_galliarda_la_gamba.ft3</v>
      </c>
      <c r="AA96" s="0" t="str">
        <f aca="false">HYPERLINK("http://lutemusic.org/composers/Anon/dances/galliards/pdf/thysius_galliarda_la_gamba.pdf")</f>
        <v>http://lutemusic.org/composers/Anon/dances/galliards/pdf/thysius_galliarda_la_gamba.pdf</v>
      </c>
      <c r="AB96" s="0" t="str">
        <f aca="false">HYPERLINK("http://lutemusic.org/composers/Anon/dances/galliards/midi/thysius_galliarda_la_gamba.mid")</f>
        <v>http://lutemusic.org/composers/Anon/dances/galliards/midi/thysius_galliarda_la_gamba.mid</v>
      </c>
      <c r="AC96" s="0" t="n">
        <v>1573937405</v>
      </c>
      <c r="AD96" s="0" t="n">
        <v>1586042061</v>
      </c>
    </row>
    <row r="97" customFormat="false" ht="12.8" hidden="false" customHeight="false" outlineLevel="0" collapsed="false">
      <c r="A97" s="0" t="s">
        <v>316</v>
      </c>
      <c r="C97" s="0" t="s">
        <v>79</v>
      </c>
      <c r="E97" s="0" t="s">
        <v>74</v>
      </c>
      <c r="F97" s="0" t="s">
        <v>159</v>
      </c>
      <c r="H97" s="0" t="n">
        <v>1600</v>
      </c>
      <c r="I97" s="0" t="s">
        <v>317</v>
      </c>
      <c r="J97" s="0" t="s">
        <v>36</v>
      </c>
      <c r="K97" s="0" t="s">
        <v>36</v>
      </c>
      <c r="P97" s="0" t="s">
        <v>316</v>
      </c>
      <c r="R97" s="0" t="s">
        <v>318</v>
      </c>
      <c r="S97" s="0" t="s">
        <v>49</v>
      </c>
      <c r="T97" s="0" t="n">
        <v>2</v>
      </c>
      <c r="U97" s="0" t="s">
        <v>63</v>
      </c>
      <c r="Y97" s="0" t="str">
        <f aca="false">HYPERLINK("http://lutemusic.org/facsimiles/GB-Cu_Cambridge_University_Library/Dd.2.11b_1600/099v.png")</f>
        <v>http://lutemusic.org/facsimiles/GB-Cu_Cambridge_University_Library/Dd.2.11b_1600/099v.png</v>
      </c>
      <c r="Z97" s="0" t="str">
        <f aca="false">HYPERLINK("http://lutemusic.org/composers/Anon/dances/jigs/kemps_jig.ft3")</f>
        <v>http://lutemusic.org/composers/Anon/dances/jigs/kemps_jig.ft3</v>
      </c>
      <c r="AA97" s="0" t="str">
        <f aca="false">HYPERLINK("http://lutemusic.org/composers/Anon/dances/jigs/pdf/kemps_jig.pdf")</f>
        <v>http://lutemusic.org/composers/Anon/dances/jigs/pdf/kemps_jig.pdf</v>
      </c>
      <c r="AB97" s="0" t="str">
        <f aca="false">HYPERLINK("http://lutemusic.org/composers/Anon/dances/jigs/midi/kemps_jig.mid")</f>
        <v>http://lutemusic.org/composers/Anon/dances/jigs/midi/kemps_jig.mid</v>
      </c>
      <c r="AC97" s="0" t="n">
        <v>1573937405</v>
      </c>
      <c r="AD97" s="0" t="n">
        <v>1586042061</v>
      </c>
    </row>
    <row r="98" customFormat="false" ht="12.8" hidden="false" customHeight="false" outlineLevel="0" collapsed="false">
      <c r="A98" s="0" t="s">
        <v>319</v>
      </c>
      <c r="B98" s="0" t="s">
        <v>320</v>
      </c>
      <c r="C98" s="0" t="s">
        <v>79</v>
      </c>
      <c r="E98" s="0" t="s">
        <v>185</v>
      </c>
      <c r="F98" s="0" t="s">
        <v>186</v>
      </c>
      <c r="H98" s="0" t="n">
        <v>1625</v>
      </c>
      <c r="I98" s="0" t="s">
        <v>183</v>
      </c>
      <c r="J98" s="0" t="s">
        <v>36</v>
      </c>
      <c r="K98" s="0" t="s">
        <v>36</v>
      </c>
      <c r="P98" s="0" t="s">
        <v>319</v>
      </c>
      <c r="R98" s="0" t="s">
        <v>181</v>
      </c>
      <c r="S98" s="0" t="s">
        <v>49</v>
      </c>
      <c r="T98" s="0" t="n">
        <v>3</v>
      </c>
      <c r="U98" s="0" t="s">
        <v>53</v>
      </c>
      <c r="Y98" s="0" t="str">
        <f aca="false">HYPERLINK("http://lutemusic.org/facsimiles/GB-Lspencer_Private_Library_of_Robert_Spencer/Margaret_Board_lute_book_1625/08.png")</f>
        <v>http://lutemusic.org/facsimiles/GB-Lspencer_Private_Library_of_Robert_Spencer/Margaret_Board_lute_book_1625/08.png</v>
      </c>
      <c r="Z98" s="0" t="str">
        <f aca="false">HYPERLINK("http://lutemusic.org/composers/Anon/dances/masks/french_kings_mask.ft3")</f>
        <v>http://lutemusic.org/composers/Anon/dances/masks/french_kings_mask.ft3</v>
      </c>
      <c r="AA98" s="0" t="str">
        <f aca="false">HYPERLINK("http://lutemusic.org/composers/Anon/dances/masks/pdf/french_kings_mask.pdf")</f>
        <v>http://lutemusic.org/composers/Anon/dances/masks/pdf/french_kings_mask.pdf</v>
      </c>
      <c r="AB98" s="0" t="str">
        <f aca="false">HYPERLINK("http://lutemusic.org/composers/Anon/dances/masks/midi/french_kings_mask.mid")</f>
        <v>http://lutemusic.org/composers/Anon/dances/masks/midi/french_kings_mask.mid</v>
      </c>
      <c r="AC98" s="0" t="n">
        <v>1573937405</v>
      </c>
      <c r="AD98" s="0" t="n">
        <v>1588468778</v>
      </c>
    </row>
    <row r="99" customFormat="false" ht="12.8" hidden="false" customHeight="false" outlineLevel="0" collapsed="false">
      <c r="A99" s="0" t="s">
        <v>321</v>
      </c>
      <c r="C99" s="0" t="s">
        <v>79</v>
      </c>
      <c r="E99" s="0" t="s">
        <v>200</v>
      </c>
      <c r="F99" s="0" t="s">
        <v>201</v>
      </c>
      <c r="H99" s="0" t="n">
        <v>1580</v>
      </c>
      <c r="I99" s="0" t="s">
        <v>322</v>
      </c>
      <c r="J99" s="0" t="s">
        <v>36</v>
      </c>
      <c r="K99" s="0" t="s">
        <v>36</v>
      </c>
      <c r="P99" s="0" t="s">
        <v>321</v>
      </c>
      <c r="R99" s="0" t="s">
        <v>323</v>
      </c>
      <c r="S99" s="0" t="s">
        <v>38</v>
      </c>
      <c r="T99" s="0" t="n">
        <v>2</v>
      </c>
      <c r="U99" s="0" t="s">
        <v>63</v>
      </c>
      <c r="Z99" s="0" t="str">
        <f aca="false">HYPERLINK("http://lutemusic.org/composers/Anon/dances/nachdance_01/nachdance_01.ft3")</f>
        <v>http://lutemusic.org/composers/Anon/dances/nachdance_01/nachdance_01.ft3</v>
      </c>
      <c r="AA99" s="0" t="str">
        <f aca="false">HYPERLINK("http://lutemusic.org/composers/Anon/dances/nachdance_01/pdf/nachdance_01.pdf")</f>
        <v>http://lutemusic.org/composers/Anon/dances/nachdance_01/pdf/nachdance_01.pdf</v>
      </c>
      <c r="AB99" s="0" t="str">
        <f aca="false">HYPERLINK("http://lutemusic.org/composers/Anon/dances/nachdance_01/midi/nachdance_01.mid")</f>
        <v>http://lutemusic.org/composers/Anon/dances/nachdance_01/midi/nachdance_01.mid</v>
      </c>
      <c r="AC99" s="0" t="n">
        <v>1573937405</v>
      </c>
      <c r="AD99" s="0" t="n">
        <v>1586042061</v>
      </c>
    </row>
    <row r="100" customFormat="false" ht="12.8" hidden="false" customHeight="false" outlineLevel="0" collapsed="false">
      <c r="A100" s="0" t="s">
        <v>324</v>
      </c>
      <c r="C100" s="0" t="s">
        <v>79</v>
      </c>
      <c r="E100" s="0" t="s">
        <v>200</v>
      </c>
      <c r="F100" s="0" t="s">
        <v>201</v>
      </c>
      <c r="H100" s="0" t="n">
        <v>1580</v>
      </c>
      <c r="I100" s="0" t="s">
        <v>325</v>
      </c>
      <c r="J100" s="0" t="s">
        <v>36</v>
      </c>
      <c r="K100" s="0" t="s">
        <v>36</v>
      </c>
      <c r="P100" s="0" t="s">
        <v>324</v>
      </c>
      <c r="R100" s="0" t="s">
        <v>323</v>
      </c>
      <c r="S100" s="0" t="s">
        <v>326</v>
      </c>
      <c r="T100" s="0" t="n">
        <v>2</v>
      </c>
      <c r="U100" s="0" t="s">
        <v>63</v>
      </c>
      <c r="Z100" s="0" t="str">
        <f aca="false">HYPERLINK("http://lutemusic.org/composers/Anon/dances/nachdance_03/nachdance_03.ft3")</f>
        <v>http://lutemusic.org/composers/Anon/dances/nachdance_03/nachdance_03.ft3</v>
      </c>
      <c r="AA100" s="0" t="str">
        <f aca="false">HYPERLINK("http://lutemusic.org/composers/Anon/dances/nachdance_03/pdf/nachdance_03.pdf")</f>
        <v>http://lutemusic.org/composers/Anon/dances/nachdance_03/pdf/nachdance_03.pdf</v>
      </c>
      <c r="AB100" s="0" t="str">
        <f aca="false">HYPERLINK("http://lutemusic.org/composers/Anon/dances/nachdance_03/midi/nachdance_03.mid")</f>
        <v>http://lutemusic.org/composers/Anon/dances/nachdance_03/midi/nachdance_03.mid</v>
      </c>
      <c r="AC100" s="0" t="n">
        <v>1573937405</v>
      </c>
      <c r="AD100" s="0" t="n">
        <v>1586042061</v>
      </c>
    </row>
    <row r="101" customFormat="false" ht="12.8" hidden="false" customHeight="false" outlineLevel="0" collapsed="false">
      <c r="A101" s="0" t="s">
        <v>327</v>
      </c>
      <c r="C101" s="0" t="s">
        <v>79</v>
      </c>
      <c r="E101" s="0" t="s">
        <v>154</v>
      </c>
      <c r="F101" s="0" t="s">
        <v>69</v>
      </c>
      <c r="H101" s="0" t="n">
        <v>1550</v>
      </c>
      <c r="I101" s="0" t="s">
        <v>328</v>
      </c>
      <c r="J101" s="0" t="s">
        <v>36</v>
      </c>
      <c r="K101" s="0" t="s">
        <v>36</v>
      </c>
      <c r="P101" s="0" t="s">
        <v>327</v>
      </c>
      <c r="R101" s="0" t="s">
        <v>329</v>
      </c>
      <c r="S101" s="0" t="s">
        <v>49</v>
      </c>
      <c r="T101" s="0" t="n">
        <v>2</v>
      </c>
      <c r="U101" s="0" t="s">
        <v>53</v>
      </c>
      <c r="Z101" s="0" t="str">
        <f aca="false">HYPERLINK("http://lutemusic.org/composers/Anon/dances/passomezzo/passamezzo.ft3")</f>
        <v>http://lutemusic.org/composers/Anon/dances/passomezzo/passamezzo.ft3</v>
      </c>
      <c r="AA101" s="0" t="str">
        <f aca="false">HYPERLINK("http://lutemusic.org/composers/Anon/dances/passomezzo/pdf/passamezzo.pdf")</f>
        <v>http://lutemusic.org/composers/Anon/dances/passomezzo/pdf/passamezzo.pdf</v>
      </c>
      <c r="AB101" s="0" t="str">
        <f aca="false">HYPERLINK("http://lutemusic.org/composers/Anon/dances/passomezzo/midi/passamezzo.mid")</f>
        <v>http://lutemusic.org/composers/Anon/dances/passomezzo/midi/passamezzo.mid</v>
      </c>
      <c r="AC101" s="0" t="n">
        <v>1573937405</v>
      </c>
      <c r="AD101" s="0" t="n">
        <v>1586042061</v>
      </c>
    </row>
    <row r="102" customFormat="false" ht="12.8" hidden="false" customHeight="false" outlineLevel="0" collapsed="false">
      <c r="A102" s="0" t="s">
        <v>329</v>
      </c>
      <c r="C102" s="0" t="s">
        <v>79</v>
      </c>
      <c r="E102" s="0" t="s">
        <v>330</v>
      </c>
      <c r="F102" s="0" t="s">
        <v>331</v>
      </c>
      <c r="H102" s="0" t="n">
        <v>1568</v>
      </c>
      <c r="I102" s="0" t="s">
        <v>332</v>
      </c>
      <c r="J102" s="0" t="s">
        <v>36</v>
      </c>
      <c r="K102" s="0" t="s">
        <v>36</v>
      </c>
      <c r="P102" s="0" t="s">
        <v>329</v>
      </c>
      <c r="R102" s="0" t="s">
        <v>329</v>
      </c>
      <c r="S102" s="0" t="s">
        <v>66</v>
      </c>
      <c r="T102" s="0" t="n">
        <v>3</v>
      </c>
      <c r="U102" s="0" t="s">
        <v>63</v>
      </c>
      <c r="Z102" s="0" t="str">
        <f aca="false">HYPERLINK("http://lutemusic.org/composers/Anon/dances/passomezzo/passomezo.ft3")</f>
        <v>http://lutemusic.org/composers/Anon/dances/passomezzo/passomezo.ft3</v>
      </c>
      <c r="AA102" s="0" t="str">
        <f aca="false">HYPERLINK("http://lutemusic.org/composers/Anon/dances/passomezzo/pdf/passomezo.pdf")</f>
        <v>http://lutemusic.org/composers/Anon/dances/passomezzo/pdf/passomezo.pdf</v>
      </c>
      <c r="AB102" s="0" t="str">
        <f aca="false">HYPERLINK("http://lutemusic.org/composers/Anon/dances/passomezzo/midi/passomezo.mid")</f>
        <v>http://lutemusic.org/composers/Anon/dances/passomezzo/midi/passomezo.mid</v>
      </c>
      <c r="AC102" s="0" t="n">
        <v>1573937405</v>
      </c>
      <c r="AD102" s="0" t="n">
        <v>1586042061</v>
      </c>
    </row>
    <row r="103" customFormat="false" ht="12.8" hidden="false" customHeight="false" outlineLevel="0" collapsed="false">
      <c r="A103" s="0" t="s">
        <v>333</v>
      </c>
      <c r="C103" s="0" t="s">
        <v>79</v>
      </c>
      <c r="E103" s="0" t="s">
        <v>330</v>
      </c>
      <c r="F103" s="0" t="s">
        <v>331</v>
      </c>
      <c r="H103" s="0" t="n">
        <v>1568</v>
      </c>
      <c r="I103" s="0" t="s">
        <v>334</v>
      </c>
      <c r="J103" s="0" t="s">
        <v>36</v>
      </c>
      <c r="K103" s="0" t="s">
        <v>36</v>
      </c>
      <c r="P103" s="0" t="s">
        <v>333</v>
      </c>
      <c r="R103" s="0" t="s">
        <v>329</v>
      </c>
      <c r="S103" s="0" t="s">
        <v>66</v>
      </c>
      <c r="T103" s="0" t="n">
        <v>5</v>
      </c>
      <c r="U103" s="0" t="s">
        <v>63</v>
      </c>
      <c r="Z103" s="0" t="str">
        <f aca="false">HYPERLINK("http://lutemusic.org/composers/Anon/dances/passomezzo/passomezo_d_italye.ft3")</f>
        <v>http://lutemusic.org/composers/Anon/dances/passomezzo/passomezo_d_italye.ft3</v>
      </c>
      <c r="AA103" s="0" t="str">
        <f aca="false">HYPERLINK("http://lutemusic.org/composers/Anon/dances/passomezzo/pdf/passomezo_d_italye.pdf")</f>
        <v>http://lutemusic.org/composers/Anon/dances/passomezzo/pdf/passomezo_d_italye.pdf</v>
      </c>
      <c r="AB103" s="0" t="str">
        <f aca="false">HYPERLINK("http://lutemusic.org/composers/Anon/dances/passomezzo/midi/passomezo_d_italye.mid")</f>
        <v>http://lutemusic.org/composers/Anon/dances/passomezzo/midi/passomezo_d_italye.mid</v>
      </c>
      <c r="AC103" s="0" t="n">
        <v>1573937405</v>
      </c>
      <c r="AD103" s="0" t="n">
        <v>1586042061</v>
      </c>
    </row>
    <row r="104" customFormat="false" ht="12.8" hidden="false" customHeight="false" outlineLevel="0" collapsed="false">
      <c r="A104" s="0" t="s">
        <v>335</v>
      </c>
      <c r="C104" s="0" t="s">
        <v>79</v>
      </c>
      <c r="E104" s="0" t="s">
        <v>94</v>
      </c>
      <c r="F104" s="0" t="s">
        <v>106</v>
      </c>
      <c r="H104" s="0" t="n">
        <v>1530</v>
      </c>
      <c r="I104" s="0" t="s">
        <v>336</v>
      </c>
      <c r="J104" s="0" t="s">
        <v>36</v>
      </c>
      <c r="K104" s="0" t="s">
        <v>36</v>
      </c>
      <c r="P104" s="0" t="s">
        <v>335</v>
      </c>
      <c r="R104" s="0" t="s">
        <v>337</v>
      </c>
      <c r="S104" s="0" t="s">
        <v>338</v>
      </c>
      <c r="T104" s="0" t="n">
        <v>2</v>
      </c>
      <c r="U104" s="0" t="s">
        <v>63</v>
      </c>
      <c r="Z104" s="0" t="str">
        <f aca="false">HYPERLINK("http://lutemusic.org/composers/Anon/dances/pavanes/37_anon_pavane_blondeau.ft3")</f>
        <v>http://lutemusic.org/composers/Anon/dances/pavanes/37_anon_pavane_blondeau.ft3</v>
      </c>
      <c r="AA104" s="0" t="str">
        <f aca="false">HYPERLINK("http://lutemusic.org/composers/Anon/dances/pavanes/pdf/37_anon_pavane_blondeau.pdf")</f>
        <v>http://lutemusic.org/composers/Anon/dances/pavanes/pdf/37_anon_pavane_blondeau.pdf</v>
      </c>
      <c r="AB104" s="0" t="str">
        <f aca="false">HYPERLINK("http://lutemusic.org/composers/Anon/dances/pavanes/midi/37_anon_pavane_blondeau.mid")</f>
        <v>http://lutemusic.org/composers/Anon/dances/pavanes/midi/37_anon_pavane_blondeau.mid</v>
      </c>
      <c r="AC104" s="0" t="n">
        <v>1573937405</v>
      </c>
      <c r="AD104" s="0" t="n">
        <v>1593131616</v>
      </c>
    </row>
    <row r="105" customFormat="false" ht="12.8" hidden="false" customHeight="false" outlineLevel="0" collapsed="false">
      <c r="A105" s="0" t="s">
        <v>339</v>
      </c>
      <c r="C105" s="0" t="s">
        <v>79</v>
      </c>
      <c r="E105" s="0" t="s">
        <v>33</v>
      </c>
      <c r="F105" s="0" t="s">
        <v>340</v>
      </c>
      <c r="H105" s="0" t="n">
        <v>1530</v>
      </c>
      <c r="J105" s="0" t="s">
        <v>36</v>
      </c>
      <c r="K105" s="0" t="s">
        <v>36</v>
      </c>
      <c r="L105" s="0" t="s">
        <v>341</v>
      </c>
      <c r="O105" s="0" t="s">
        <v>342</v>
      </c>
      <c r="P105" s="0" t="s">
        <v>339</v>
      </c>
      <c r="R105" s="0" t="s">
        <v>343</v>
      </c>
      <c r="S105" s="0" t="s">
        <v>49</v>
      </c>
      <c r="T105" s="0" t="n">
        <v>3</v>
      </c>
      <c r="U105" s="0" t="s">
        <v>53</v>
      </c>
      <c r="Z105" s="0" t="str">
        <f aca="false">HYPERLINK("http://lutemusic.org/composers/Anon/dances/pavanes/duke_of_somersets_reverie.ft3")</f>
        <v>http://lutemusic.org/composers/Anon/dances/pavanes/duke_of_somersets_reverie.ft3</v>
      </c>
      <c r="AA105" s="0" t="str">
        <f aca="false">HYPERLINK("http://lutemusic.org/composers/Anon/dances/pavanes/pdf/duke_of_somersets_reverie.pdf")</f>
        <v>http://lutemusic.org/composers/Anon/dances/pavanes/pdf/duke_of_somersets_reverie.pdf</v>
      </c>
      <c r="AB105" s="0" t="str">
        <f aca="false">HYPERLINK("http://lutemusic.org/composers/Anon/dances/pavanes/midi/duke_of_somersets_reverie.mid")</f>
        <v>http://lutemusic.org/composers/Anon/dances/pavanes/midi/duke_of_somersets_reverie.mid</v>
      </c>
      <c r="AC105" s="0" t="n">
        <v>1573937405</v>
      </c>
      <c r="AD105" s="0" t="n">
        <v>1586042061</v>
      </c>
    </row>
    <row r="106" customFormat="false" ht="12.8" hidden="false" customHeight="false" outlineLevel="0" collapsed="false">
      <c r="A106" s="0" t="s">
        <v>344</v>
      </c>
      <c r="C106" s="0" t="s">
        <v>79</v>
      </c>
      <c r="E106" s="0" t="s">
        <v>154</v>
      </c>
      <c r="F106" s="0" t="s">
        <v>69</v>
      </c>
      <c r="H106" s="0" t="n">
        <v>1550</v>
      </c>
      <c r="I106" s="0" t="s">
        <v>345</v>
      </c>
      <c r="J106" s="0" t="s">
        <v>36</v>
      </c>
      <c r="K106" s="0" t="s">
        <v>36</v>
      </c>
      <c r="P106" s="0" t="s">
        <v>344</v>
      </c>
      <c r="R106" s="0" t="s">
        <v>337</v>
      </c>
      <c r="S106" s="0" t="s">
        <v>119</v>
      </c>
      <c r="T106" s="0" t="n">
        <v>2</v>
      </c>
      <c r="U106" s="0" t="s">
        <v>63</v>
      </c>
      <c r="Z106" s="0" t="str">
        <f aca="false">HYPERLINK("http://lutemusic.org/composers/Anon/dances/pavanes/pavana.ft3")</f>
        <v>http://lutemusic.org/composers/Anon/dances/pavanes/pavana.ft3</v>
      </c>
      <c r="AA106" s="0" t="str">
        <f aca="false">HYPERLINK("http://lutemusic.org/composers/Anon/dances/pavanes/pdf/pavana.pdf")</f>
        <v>http://lutemusic.org/composers/Anon/dances/pavanes/pdf/pavana.pdf</v>
      </c>
      <c r="AB106" s="0" t="str">
        <f aca="false">HYPERLINK("http://lutemusic.org/composers/Anon/dances/pavanes/midi/pavana.mid")</f>
        <v>http://lutemusic.org/composers/Anon/dances/pavanes/midi/pavana.mid</v>
      </c>
      <c r="AC106" s="0" t="n">
        <v>1573937405</v>
      </c>
      <c r="AD106" s="0" t="n">
        <v>1586042061</v>
      </c>
    </row>
    <row r="107" customFormat="false" ht="12.8" hidden="false" customHeight="false" outlineLevel="0" collapsed="false">
      <c r="A107" s="0" t="s">
        <v>346</v>
      </c>
      <c r="C107" s="0" t="s">
        <v>79</v>
      </c>
      <c r="E107" s="0" t="s">
        <v>330</v>
      </c>
      <c r="F107" s="0" t="s">
        <v>347</v>
      </c>
      <c r="H107" s="0" t="n">
        <v>1571</v>
      </c>
      <c r="I107" s="0" t="s">
        <v>348</v>
      </c>
      <c r="J107" s="0" t="s">
        <v>36</v>
      </c>
      <c r="K107" s="0" t="s">
        <v>36</v>
      </c>
      <c r="P107" s="0" t="s">
        <v>346</v>
      </c>
      <c r="R107" s="0" t="s">
        <v>337</v>
      </c>
      <c r="S107" s="0" t="s">
        <v>152</v>
      </c>
      <c r="T107" s="0" t="n">
        <v>5</v>
      </c>
      <c r="U107" s="0" t="s">
        <v>63</v>
      </c>
      <c r="Y107" s="0" t="str">
        <f aca="false">HYPERLINK("http://lutemusic.org/facsimiles/PhaleseP/Theatrum_Musicum_1571/061v.png")</f>
        <v>http://lutemusic.org/facsimiles/PhaleseP/Theatrum_Musicum_1571/061v.png</v>
      </c>
      <c r="Z107" s="0" t="str">
        <f aca="false">HYPERLINK("http://lutemusic.org/composers/Anon/dances/pavanes/pavana_desperata.ft3")</f>
        <v>http://lutemusic.org/composers/Anon/dances/pavanes/pavana_desperata.ft3</v>
      </c>
      <c r="AA107" s="0" t="str">
        <f aca="false">HYPERLINK("http://lutemusic.org/composers/Anon/dances/pavanes/pdf/pavana_desperata.pdf")</f>
        <v>http://lutemusic.org/composers/Anon/dances/pavanes/pdf/pavana_desperata.pdf</v>
      </c>
      <c r="AB107" s="0" t="str">
        <f aca="false">HYPERLINK("http://lutemusic.org/composers/Anon/dances/pavanes/midi/pavana_desperata.mid")</f>
        <v>http://lutemusic.org/composers/Anon/dances/pavanes/midi/pavana_desperata.mid</v>
      </c>
      <c r="AC107" s="0" t="n">
        <v>1573937405</v>
      </c>
      <c r="AD107" s="0" t="n">
        <v>1586042061</v>
      </c>
    </row>
    <row r="108" customFormat="false" ht="12.8" hidden="false" customHeight="false" outlineLevel="0" collapsed="false">
      <c r="A108" s="0" t="s">
        <v>349</v>
      </c>
      <c r="C108" s="0" t="s">
        <v>79</v>
      </c>
      <c r="E108" s="0" t="s">
        <v>350</v>
      </c>
      <c r="F108" s="0" t="s">
        <v>351</v>
      </c>
      <c r="H108" s="0" t="n">
        <v>1502</v>
      </c>
      <c r="J108" s="0" t="s">
        <v>36</v>
      </c>
      <c r="K108" s="0" t="s">
        <v>36</v>
      </c>
      <c r="P108" s="0" t="s">
        <v>349</v>
      </c>
      <c r="R108" s="0" t="s">
        <v>77</v>
      </c>
      <c r="S108" s="0" t="s">
        <v>152</v>
      </c>
      <c r="T108" s="0" t="n">
        <v>3</v>
      </c>
      <c r="U108" s="0" t="s">
        <v>63</v>
      </c>
      <c r="Z108" s="0" t="str">
        <f aca="false">HYPERLINK("http://lutemusic.org/composers/Anon/dances/pavanes/pavana_regia.ft3")</f>
        <v>http://lutemusic.org/composers/Anon/dances/pavanes/pavana_regia.ft3</v>
      </c>
      <c r="AA108" s="0" t="str">
        <f aca="false">HYPERLINK("http://lutemusic.org/composers/Anon/dances/pavanes/pdf/pavana_regia.pdf")</f>
        <v>http://lutemusic.org/composers/Anon/dances/pavanes/pdf/pavana_regia.pdf</v>
      </c>
      <c r="AB108" s="0" t="str">
        <f aca="false">HYPERLINK("http://lutemusic.org/composers/Anon/dances/pavanes/midi/pavana_regia.mid")</f>
        <v>http://lutemusic.org/composers/Anon/dances/pavanes/midi/pavana_regia.mid</v>
      </c>
      <c r="AC108" s="0" t="n">
        <v>1573937405</v>
      </c>
      <c r="AD108" s="0" t="n">
        <v>1586042061</v>
      </c>
    </row>
    <row r="109" customFormat="false" ht="12.8" hidden="false" customHeight="false" outlineLevel="0" collapsed="false">
      <c r="A109" s="0" t="s">
        <v>352</v>
      </c>
      <c r="C109" s="0" t="s">
        <v>79</v>
      </c>
      <c r="E109" s="0" t="s">
        <v>94</v>
      </c>
      <c r="F109" s="0" t="s">
        <v>106</v>
      </c>
      <c r="H109" s="0" t="n">
        <v>1530</v>
      </c>
      <c r="I109" s="0" t="s">
        <v>353</v>
      </c>
      <c r="J109" s="0" t="s">
        <v>36</v>
      </c>
      <c r="K109" s="0" t="s">
        <v>36</v>
      </c>
      <c r="P109" s="0" t="s">
        <v>352</v>
      </c>
      <c r="R109" s="0" t="s">
        <v>77</v>
      </c>
      <c r="S109" s="0" t="s">
        <v>66</v>
      </c>
      <c r="T109" s="0" t="n">
        <v>2</v>
      </c>
      <c r="U109" s="0" t="s">
        <v>63</v>
      </c>
      <c r="Z109" s="0" t="str">
        <f aca="false">HYPERLINK("http://lutemusic.org/composers/Anon/dances/pavanes/pavane_05.ft3")</f>
        <v>http://lutemusic.org/composers/Anon/dances/pavanes/pavane_05.ft3</v>
      </c>
      <c r="AA109" s="0" t="str">
        <f aca="false">HYPERLINK("http://lutemusic.org/composers/Anon/dances/pavanes/pdf/pavane_05.pdf")</f>
        <v>http://lutemusic.org/composers/Anon/dances/pavanes/pdf/pavane_05.pdf</v>
      </c>
      <c r="AB109" s="0" t="str">
        <f aca="false">HYPERLINK("http://lutemusic.org/composers/Anon/dances/pavanes/midi/pavane_05.mid")</f>
        <v>http://lutemusic.org/composers/Anon/dances/pavanes/midi/pavane_05.mid</v>
      </c>
      <c r="AC109" s="0" t="n">
        <v>1573937405</v>
      </c>
      <c r="AD109" s="0" t="n">
        <v>1593131616</v>
      </c>
    </row>
    <row r="110" customFormat="false" ht="12.8" hidden="false" customHeight="false" outlineLevel="0" collapsed="false">
      <c r="A110" s="0" t="s">
        <v>354</v>
      </c>
      <c r="C110" s="0" t="s">
        <v>79</v>
      </c>
      <c r="E110" s="0" t="s">
        <v>355</v>
      </c>
      <c r="F110" s="0" t="s">
        <v>356</v>
      </c>
      <c r="H110" s="0" t="n">
        <v>1600</v>
      </c>
      <c r="I110" s="0" t="s">
        <v>35</v>
      </c>
      <c r="J110" s="0" t="s">
        <v>36</v>
      </c>
      <c r="K110" s="0" t="s">
        <v>36</v>
      </c>
      <c r="L110" s="0" t="s">
        <v>357</v>
      </c>
      <c r="P110" s="0" t="s">
        <v>354</v>
      </c>
      <c r="R110" s="0" t="s">
        <v>337</v>
      </c>
      <c r="S110" s="0" t="s">
        <v>66</v>
      </c>
      <c r="T110" s="0" t="n">
        <v>3</v>
      </c>
      <c r="U110" s="0" t="s">
        <v>358</v>
      </c>
      <c r="V110" s="0" t="s">
        <v>143</v>
      </c>
      <c r="Z110" s="0" t="str">
        <f aca="false">HYPERLINK("http://lutemusic.org/composers/Anon/dances/pavanes/pavane_01/pavane_01_lute.ft3")</f>
        <v>http://lutemusic.org/composers/Anon/dances/pavanes/pavane_01/pavane_01_lute.ft3</v>
      </c>
      <c r="AA110" s="0" t="str">
        <f aca="false">HYPERLINK("http://lutemusic.org/composers/Anon/dances/pavanes/pavane_01/pdf/pavane_01_lute.pdf")</f>
        <v>http://lutemusic.org/composers/Anon/dances/pavanes/pavane_01/pdf/pavane_01_lute.pdf</v>
      </c>
      <c r="AB110" s="0" t="str">
        <f aca="false">HYPERLINK("http://lutemusic.org/composers/Anon/dances/pavanes/pavane_01/midi/pavane_01_lute.mid")</f>
        <v>http://lutemusic.org/composers/Anon/dances/pavanes/pavane_01/midi/pavane_01_lute.mid</v>
      </c>
      <c r="AC110" s="0" t="n">
        <v>1573937405</v>
      </c>
      <c r="AD110" s="0" t="n">
        <v>1586042061</v>
      </c>
    </row>
    <row r="111" customFormat="false" ht="12.8" hidden="false" customHeight="false" outlineLevel="0" collapsed="false">
      <c r="A111" s="0" t="s">
        <v>354</v>
      </c>
      <c r="C111" s="0" t="s">
        <v>79</v>
      </c>
      <c r="E111" s="0" t="s">
        <v>355</v>
      </c>
      <c r="F111" s="0" t="s">
        <v>356</v>
      </c>
      <c r="H111" s="0" t="n">
        <v>1600</v>
      </c>
      <c r="I111" s="0" t="s">
        <v>35</v>
      </c>
      <c r="J111" s="0" t="s">
        <v>36</v>
      </c>
      <c r="K111" s="0" t="s">
        <v>36</v>
      </c>
      <c r="L111" s="0" t="s">
        <v>357</v>
      </c>
      <c r="P111" s="0" t="s">
        <v>354</v>
      </c>
      <c r="R111" s="0" t="s">
        <v>337</v>
      </c>
      <c r="S111" s="0" t="s">
        <v>66</v>
      </c>
      <c r="T111" s="0" t="n">
        <v>3</v>
      </c>
      <c r="U111" s="0" t="s">
        <v>358</v>
      </c>
      <c r="V111" s="0" t="s">
        <v>40</v>
      </c>
      <c r="Z111" s="0" t="str">
        <f aca="false">HYPERLINK("http://lutemusic.org/composers/Anon/dances/pavanes/pavane_01/pavane_01_score.ft3")</f>
        <v>http://lutemusic.org/composers/Anon/dances/pavanes/pavane_01/pavane_01_score.ft3</v>
      </c>
      <c r="AA111" s="0" t="str">
        <f aca="false">HYPERLINK("http://lutemusic.org/composers/Anon/dances/pavanes/pavane_01/pdf/pavane_01_score.pdf")</f>
        <v>http://lutemusic.org/composers/Anon/dances/pavanes/pavane_01/pdf/pavane_01_score.pdf</v>
      </c>
      <c r="AB111" s="0" t="str">
        <f aca="false">HYPERLINK("http://lutemusic.org/composers/Anon/dances/pavanes/pavane_01/midi/pavane_01_score.mid")</f>
        <v>http://lutemusic.org/composers/Anon/dances/pavanes/pavane_01/midi/pavane_01_score.mid</v>
      </c>
      <c r="AC111" s="0" t="n">
        <v>1573937405</v>
      </c>
      <c r="AD111" s="0" t="n">
        <v>1586042061</v>
      </c>
    </row>
    <row r="112" customFormat="false" ht="12.8" hidden="false" customHeight="false" outlineLevel="0" collapsed="false">
      <c r="A112" s="0" t="s">
        <v>359</v>
      </c>
      <c r="C112" s="0" t="s">
        <v>79</v>
      </c>
      <c r="E112" s="0" t="s">
        <v>355</v>
      </c>
      <c r="F112" s="0" t="s">
        <v>356</v>
      </c>
      <c r="H112" s="0" t="n">
        <v>1600</v>
      </c>
      <c r="I112" s="0" t="s">
        <v>262</v>
      </c>
      <c r="J112" s="0" t="s">
        <v>36</v>
      </c>
      <c r="K112" s="0" t="s">
        <v>36</v>
      </c>
      <c r="L112" s="0" t="s">
        <v>357</v>
      </c>
      <c r="R112" s="0" t="s">
        <v>77</v>
      </c>
      <c r="S112" s="0" t="s">
        <v>66</v>
      </c>
      <c r="T112" s="0" t="n">
        <v>2</v>
      </c>
      <c r="U112" s="0" t="s">
        <v>360</v>
      </c>
      <c r="V112" s="0" t="s">
        <v>143</v>
      </c>
      <c r="Z112" s="0" t="str">
        <f aca="false">HYPERLINK("http://lutemusic.org/composers/Anon/dances/pavanes/pavane_02/pavane_02_lute.ft3")</f>
        <v>http://lutemusic.org/composers/Anon/dances/pavanes/pavane_02/pavane_02_lute.ft3</v>
      </c>
      <c r="AA112" s="0" t="str">
        <f aca="false">HYPERLINK("http://lutemusic.org/composers/Anon/dances/pavanes/pavane_02/pdf/pavane_02_lute.pdf")</f>
        <v>http://lutemusic.org/composers/Anon/dances/pavanes/pavane_02/pdf/pavane_02_lute.pdf</v>
      </c>
      <c r="AB112" s="0" t="str">
        <f aca="false">HYPERLINK("http://lutemusic.org/composers/Anon/dances/pavanes/pavane_02/midi/pavane_02_lute.mid")</f>
        <v>http://lutemusic.org/composers/Anon/dances/pavanes/pavane_02/midi/pavane_02_lute.mid</v>
      </c>
      <c r="AC112" s="0" t="n">
        <v>1573937405</v>
      </c>
      <c r="AD112" s="0" t="n">
        <v>1586042061</v>
      </c>
    </row>
    <row r="113" customFormat="false" ht="12.8" hidden="false" customHeight="false" outlineLevel="0" collapsed="false">
      <c r="A113" s="0" t="s">
        <v>359</v>
      </c>
      <c r="C113" s="0" t="s">
        <v>79</v>
      </c>
      <c r="E113" s="0" t="s">
        <v>355</v>
      </c>
      <c r="F113" s="0" t="s">
        <v>356</v>
      </c>
      <c r="H113" s="0" t="n">
        <v>1600</v>
      </c>
      <c r="I113" s="0" t="s">
        <v>262</v>
      </c>
      <c r="J113" s="0" t="s">
        <v>36</v>
      </c>
      <c r="K113" s="0" t="s">
        <v>36</v>
      </c>
      <c r="L113" s="0" t="s">
        <v>357</v>
      </c>
      <c r="R113" s="0" t="s">
        <v>77</v>
      </c>
      <c r="S113" s="0" t="s">
        <v>66</v>
      </c>
      <c r="T113" s="0" t="n">
        <v>2</v>
      </c>
      <c r="U113" s="0" t="s">
        <v>360</v>
      </c>
      <c r="V113" s="0" t="s">
        <v>40</v>
      </c>
      <c r="Z113" s="0" t="str">
        <f aca="false">HYPERLINK("http://lutemusic.org/composers/Anon/dances/pavanes/pavane_02/pavane_02_score.ft3")</f>
        <v>http://lutemusic.org/composers/Anon/dances/pavanes/pavane_02/pavane_02_score.ft3</v>
      </c>
      <c r="AA113" s="0" t="str">
        <f aca="false">HYPERLINK("http://lutemusic.org/composers/Anon/dances/pavanes/pavane_02/pdf/pavane_02_score.pdf")</f>
        <v>http://lutemusic.org/composers/Anon/dances/pavanes/pavane_02/pdf/pavane_02_score.pdf</v>
      </c>
      <c r="AB113" s="0" t="str">
        <f aca="false">HYPERLINK("http://lutemusic.org/composers/Anon/dances/pavanes/pavane_02/midi/pavane_02_score.mid")</f>
        <v>http://lutemusic.org/composers/Anon/dances/pavanes/pavane_02/midi/pavane_02_score.mid</v>
      </c>
      <c r="AC113" s="0" t="n">
        <v>1573937405</v>
      </c>
      <c r="AD113" s="0" t="n">
        <v>1586042061</v>
      </c>
    </row>
    <row r="114" customFormat="false" ht="12.8" hidden="false" customHeight="false" outlineLevel="0" collapsed="false">
      <c r="A114" s="0" t="s">
        <v>361</v>
      </c>
      <c r="C114" s="0" t="s">
        <v>79</v>
      </c>
      <c r="E114" s="0" t="s">
        <v>355</v>
      </c>
      <c r="F114" s="0" t="s">
        <v>356</v>
      </c>
      <c r="H114" s="0" t="n">
        <v>1600</v>
      </c>
      <c r="I114" s="0" t="s">
        <v>265</v>
      </c>
      <c r="J114" s="0" t="s">
        <v>36</v>
      </c>
      <c r="K114" s="0" t="s">
        <v>36</v>
      </c>
      <c r="L114" s="0" t="s">
        <v>357</v>
      </c>
      <c r="R114" s="0" t="s">
        <v>77</v>
      </c>
      <c r="S114" s="0" t="s">
        <v>338</v>
      </c>
      <c r="T114" s="0" t="n">
        <v>2</v>
      </c>
      <c r="U114" s="0" t="s">
        <v>360</v>
      </c>
      <c r="V114" s="0" t="s">
        <v>143</v>
      </c>
      <c r="Z114" s="0" t="str">
        <f aca="false">HYPERLINK("http://lutemusic.org/composers/Anon/dances/pavanes/pavane_03/pavane_03_lute.ft3")</f>
        <v>http://lutemusic.org/composers/Anon/dances/pavanes/pavane_03/pavane_03_lute.ft3</v>
      </c>
      <c r="AA114" s="0" t="str">
        <f aca="false">HYPERLINK("http://lutemusic.org/composers/Anon/dances/pavanes/pavane_03/pdf/pavane_03_lute.pdf")</f>
        <v>http://lutemusic.org/composers/Anon/dances/pavanes/pavane_03/pdf/pavane_03_lute.pdf</v>
      </c>
      <c r="AB114" s="0" t="str">
        <f aca="false">HYPERLINK("http://lutemusic.org/composers/Anon/dances/pavanes/pavane_03/midi/pavane_03_lute.mid")</f>
        <v>http://lutemusic.org/composers/Anon/dances/pavanes/pavane_03/midi/pavane_03_lute.mid</v>
      </c>
      <c r="AC114" s="0" t="n">
        <v>1573937405</v>
      </c>
      <c r="AD114" s="0" t="n">
        <v>1586042061</v>
      </c>
    </row>
    <row r="115" customFormat="false" ht="12.8" hidden="false" customHeight="false" outlineLevel="0" collapsed="false">
      <c r="A115" s="0" t="s">
        <v>361</v>
      </c>
      <c r="C115" s="0" t="s">
        <v>79</v>
      </c>
      <c r="E115" s="0" t="s">
        <v>355</v>
      </c>
      <c r="F115" s="0" t="s">
        <v>356</v>
      </c>
      <c r="H115" s="0" t="n">
        <v>1600</v>
      </c>
      <c r="I115" s="0" t="s">
        <v>265</v>
      </c>
      <c r="J115" s="0" t="s">
        <v>36</v>
      </c>
      <c r="K115" s="0" t="s">
        <v>36</v>
      </c>
      <c r="L115" s="0" t="s">
        <v>357</v>
      </c>
      <c r="R115" s="0" t="s">
        <v>77</v>
      </c>
      <c r="S115" s="0" t="s">
        <v>338</v>
      </c>
      <c r="T115" s="0" t="n">
        <v>2</v>
      </c>
      <c r="U115" s="0" t="s">
        <v>360</v>
      </c>
      <c r="V115" s="0" t="s">
        <v>40</v>
      </c>
      <c r="Z115" s="0" t="str">
        <f aca="false">HYPERLINK("http://lutemusic.org/composers/Anon/dances/pavanes/pavane_03/pavane_03_score.ft3")</f>
        <v>http://lutemusic.org/composers/Anon/dances/pavanes/pavane_03/pavane_03_score.ft3</v>
      </c>
      <c r="AA115" s="0" t="str">
        <f aca="false">HYPERLINK("http://lutemusic.org/composers/Anon/dances/pavanes/pavane_03/pdf/pavane_03_score.pdf")</f>
        <v>http://lutemusic.org/composers/Anon/dances/pavanes/pavane_03/pdf/pavane_03_score.pdf</v>
      </c>
      <c r="AB115" s="0" t="str">
        <f aca="false">HYPERLINK("http://lutemusic.org/composers/Anon/dances/pavanes/pavane_03/midi/pavane_03_score.mid")</f>
        <v>http://lutemusic.org/composers/Anon/dances/pavanes/pavane_03/midi/pavane_03_score.mid</v>
      </c>
      <c r="AC115" s="0" t="n">
        <v>1573937405</v>
      </c>
      <c r="AD115" s="0" t="n">
        <v>1586042061</v>
      </c>
    </row>
    <row r="116" customFormat="false" ht="12.8" hidden="false" customHeight="false" outlineLevel="0" collapsed="false">
      <c r="A116" s="0" t="s">
        <v>362</v>
      </c>
      <c r="C116" s="0" t="s">
        <v>79</v>
      </c>
      <c r="E116" s="0" t="s">
        <v>355</v>
      </c>
      <c r="F116" s="0" t="s">
        <v>356</v>
      </c>
      <c r="H116" s="0" t="n">
        <v>1600</v>
      </c>
      <c r="I116" s="0" t="s">
        <v>267</v>
      </c>
      <c r="J116" s="0" t="s">
        <v>36</v>
      </c>
      <c r="K116" s="0" t="s">
        <v>36</v>
      </c>
      <c r="L116" s="0" t="s">
        <v>357</v>
      </c>
      <c r="R116" s="0" t="s">
        <v>77</v>
      </c>
      <c r="S116" s="0" t="s">
        <v>338</v>
      </c>
      <c r="T116" s="0" t="n">
        <v>2</v>
      </c>
      <c r="U116" s="0" t="s">
        <v>360</v>
      </c>
      <c r="V116" s="0" t="s">
        <v>40</v>
      </c>
      <c r="Z116" s="0" t="str">
        <f aca="false">HYPERLINK("http://lutemusic.org/composers/Anon/dances/pavanes/pavane_04/pavane_04.ft3")</f>
        <v>http://lutemusic.org/composers/Anon/dances/pavanes/pavane_04/pavane_04.ft3</v>
      </c>
      <c r="AA116" s="0" t="str">
        <f aca="false">HYPERLINK("http://lutemusic.org/composers/Anon/dances/pavanes/pavane_04/pdf/pavane_04.pdf")</f>
        <v>http://lutemusic.org/composers/Anon/dances/pavanes/pavane_04/pdf/pavane_04.pdf</v>
      </c>
      <c r="AB116" s="0" t="str">
        <f aca="false">HYPERLINK("http://lutemusic.org/composers/Anon/dances/pavanes/pavane_04/midi/pavane_04.mid")</f>
        <v>http://lutemusic.org/composers/Anon/dances/pavanes/pavane_04/midi/pavane_04.mid</v>
      </c>
      <c r="AC116" s="0" t="n">
        <v>1573937405</v>
      </c>
      <c r="AD116" s="0" t="n">
        <v>1586042061</v>
      </c>
    </row>
    <row r="117" customFormat="false" ht="12.8" hidden="false" customHeight="false" outlineLevel="0" collapsed="false">
      <c r="A117" s="0" t="s">
        <v>362</v>
      </c>
      <c r="C117" s="0" t="s">
        <v>79</v>
      </c>
      <c r="E117" s="0" t="s">
        <v>355</v>
      </c>
      <c r="F117" s="0" t="s">
        <v>356</v>
      </c>
      <c r="H117" s="0" t="n">
        <v>1600</v>
      </c>
      <c r="I117" s="0" t="s">
        <v>267</v>
      </c>
      <c r="J117" s="0" t="s">
        <v>36</v>
      </c>
      <c r="K117" s="0" t="s">
        <v>36</v>
      </c>
      <c r="L117" s="0" t="s">
        <v>357</v>
      </c>
      <c r="R117" s="0" t="s">
        <v>77</v>
      </c>
      <c r="S117" s="0" t="s">
        <v>338</v>
      </c>
      <c r="T117" s="0" t="n">
        <v>2</v>
      </c>
      <c r="U117" s="0" t="s">
        <v>360</v>
      </c>
      <c r="V117" s="0" t="s">
        <v>143</v>
      </c>
      <c r="Z117" s="0" t="str">
        <f aca="false">HYPERLINK("http://lutemusic.org/composers/Anon/dances/pavanes/pavane_04/pavane_04_T.ft3")</f>
        <v>http://lutemusic.org/composers/Anon/dances/pavanes/pavane_04/pavane_04_T.ft3</v>
      </c>
      <c r="AA117" s="0" t="str">
        <f aca="false">HYPERLINK("http://lutemusic.org/composers/Anon/dances/pavanes/pavane_04/pdf/pavane_04_T.pdf")</f>
        <v>http://lutemusic.org/composers/Anon/dances/pavanes/pavane_04/pdf/pavane_04_T.pdf</v>
      </c>
      <c r="AB117" s="0" t="str">
        <f aca="false">HYPERLINK("http://lutemusic.org/composers/Anon/dances/pavanes/pavane_04/midi/pavane_04_T.mid")</f>
        <v>http://lutemusic.org/composers/Anon/dances/pavanes/pavane_04/midi/pavane_04_T.mid</v>
      </c>
      <c r="AC117" s="0" t="n">
        <v>1573937405</v>
      </c>
      <c r="AD117" s="0" t="n">
        <v>1586042061</v>
      </c>
    </row>
    <row r="118" customFormat="false" ht="12.8" hidden="false" customHeight="false" outlineLevel="0" collapsed="false">
      <c r="A118" s="0" t="s">
        <v>363</v>
      </c>
      <c r="C118" s="0" t="s">
        <v>79</v>
      </c>
      <c r="E118" s="0" t="s">
        <v>364</v>
      </c>
      <c r="F118" s="0" t="s">
        <v>365</v>
      </c>
      <c r="H118" s="0" t="n">
        <v>1512</v>
      </c>
      <c r="I118" s="0" t="s">
        <v>366</v>
      </c>
      <c r="J118" s="0" t="s">
        <v>36</v>
      </c>
      <c r="K118" s="0" t="s">
        <v>59</v>
      </c>
      <c r="P118" s="0" t="s">
        <v>363</v>
      </c>
      <c r="R118" s="0" t="s">
        <v>268</v>
      </c>
      <c r="S118" s="0" t="s">
        <v>84</v>
      </c>
      <c r="T118" s="0" t="n">
        <v>3</v>
      </c>
      <c r="U118" s="0" t="s">
        <v>63</v>
      </c>
      <c r="Y118" s="0" t="str">
        <f aca="false">HYPERLINK("http://lutemusic.org/facsimiles/D-Mbs_Bayerische_Staatsbibliothek/mus_ms_1512_1512/60.png")</f>
        <v>http://lutemusic.org/facsimiles/D-Mbs_Bayerische_Staatsbibliothek/mus_ms_1512_1512/60.png</v>
      </c>
      <c r="Z118" s="0" t="str">
        <f aca="false">HYPERLINK("http://lutemusic.org/composers/Anon/dances/saltarellas/anon-saltarell_darauff_60r.ft3")</f>
        <v>http://lutemusic.org/composers/Anon/dances/saltarellas/anon-saltarell_darauff_60r.ft3</v>
      </c>
      <c r="AA118" s="0" t="str">
        <f aca="false">HYPERLINK("http://lutemusic.org/composers/Anon/dances/saltarellas/pdf/anon-saltarell_darauff_60r.pdf")</f>
        <v>http://lutemusic.org/composers/Anon/dances/saltarellas/pdf/anon-saltarell_darauff_60r.pdf</v>
      </c>
      <c r="AB118" s="0" t="str">
        <f aca="false">HYPERLINK("http://lutemusic.org/composers/Anon/dances/saltarellas/midi/anon-saltarell_darauff_60r.mid")</f>
        <v>http://lutemusic.org/composers/Anon/dances/saltarellas/midi/anon-saltarell_darauff_60r.mid</v>
      </c>
      <c r="AC118" s="0" t="n">
        <v>1573937405</v>
      </c>
      <c r="AD118" s="0" t="n">
        <v>1586042061</v>
      </c>
    </row>
    <row r="119" customFormat="false" ht="12.8" hidden="false" customHeight="false" outlineLevel="0" collapsed="false">
      <c r="A119" s="0" t="s">
        <v>363</v>
      </c>
      <c r="C119" s="0" t="s">
        <v>79</v>
      </c>
      <c r="E119" s="0" t="s">
        <v>364</v>
      </c>
      <c r="F119" s="0" t="s">
        <v>365</v>
      </c>
      <c r="H119" s="0" t="n">
        <v>1512</v>
      </c>
      <c r="I119" s="0" t="s">
        <v>367</v>
      </c>
      <c r="J119" s="0" t="s">
        <v>36</v>
      </c>
      <c r="K119" s="0" t="s">
        <v>59</v>
      </c>
      <c r="P119" s="0" t="s">
        <v>363</v>
      </c>
      <c r="R119" s="0" t="s">
        <v>368</v>
      </c>
      <c r="S119" s="0" t="s">
        <v>38</v>
      </c>
      <c r="T119" s="0" t="n">
        <v>2</v>
      </c>
      <c r="U119" s="0" t="s">
        <v>63</v>
      </c>
      <c r="Y119" s="0" t="str">
        <f aca="false">HYPERLINK("http://lutemusic.org/facsimiles/D-Mbs_Bayerische_Staatsbibliothek/mus_ms_1512_1512/62.png")</f>
        <v>http://lutemusic.org/facsimiles/D-Mbs_Bayerische_Staatsbibliothek/mus_ms_1512_1512/62.png</v>
      </c>
      <c r="Z119" s="0" t="str">
        <f aca="false">HYPERLINK("http://lutemusic.org/composers/Anon/dances/saltarellas/anon-saltarell_darauff_62r.ft3")</f>
        <v>http://lutemusic.org/composers/Anon/dances/saltarellas/anon-saltarell_darauff_62r.ft3</v>
      </c>
      <c r="AA119" s="0" t="str">
        <f aca="false">HYPERLINK("http://lutemusic.org/composers/Anon/dances/saltarellas/pdf/anon-saltarell_darauff_62r.pdf")</f>
        <v>http://lutemusic.org/composers/Anon/dances/saltarellas/pdf/anon-saltarell_darauff_62r.pdf</v>
      </c>
      <c r="AB119" s="0" t="str">
        <f aca="false">HYPERLINK("http://lutemusic.org/composers/Anon/dances/saltarellas/midi/anon-saltarell_darauff_62r.mid")</f>
        <v>http://lutemusic.org/composers/Anon/dances/saltarellas/midi/anon-saltarell_darauff_62r.mid</v>
      </c>
      <c r="AC119" s="0" t="n">
        <v>1573937405</v>
      </c>
      <c r="AD119" s="0" t="n">
        <v>1586042061</v>
      </c>
    </row>
    <row r="120" customFormat="false" ht="12.8" hidden="false" customHeight="false" outlineLevel="0" collapsed="false">
      <c r="A120" s="0" t="s">
        <v>369</v>
      </c>
      <c r="C120" s="0" t="s">
        <v>79</v>
      </c>
      <c r="E120" s="0" t="s">
        <v>291</v>
      </c>
      <c r="F120" s="0" t="s">
        <v>292</v>
      </c>
      <c r="H120" s="0" t="n">
        <v>1620</v>
      </c>
      <c r="I120" s="0" t="s">
        <v>139</v>
      </c>
      <c r="J120" s="0" t="s">
        <v>36</v>
      </c>
      <c r="K120" s="0" t="s">
        <v>36</v>
      </c>
      <c r="P120" s="0" t="s">
        <v>369</v>
      </c>
      <c r="R120" s="0" t="s">
        <v>370</v>
      </c>
      <c r="S120" s="0" t="s">
        <v>49</v>
      </c>
      <c r="T120" s="0" t="n">
        <v>2</v>
      </c>
      <c r="U120" s="0" t="s">
        <v>53</v>
      </c>
      <c r="Z120" s="0" t="str">
        <f aca="false">HYPERLINK("http://lutemusic.org/composers/Anon/dances/voltas/anon_volta.ft3")</f>
        <v>http://lutemusic.org/composers/Anon/dances/voltas/anon_volta.ft3</v>
      </c>
      <c r="AA120" s="0" t="str">
        <f aca="false">HYPERLINK("http://lutemusic.org/composers/Anon/dances/voltas/pdf/anon_volta.pdf")</f>
        <v>http://lutemusic.org/composers/Anon/dances/voltas/pdf/anon_volta.pdf</v>
      </c>
      <c r="AB120" s="0" t="str">
        <f aca="false">HYPERLINK("http://lutemusic.org/composers/Anon/dances/voltas/midi/anon_volta.mid")</f>
        <v>http://lutemusic.org/composers/Anon/dances/voltas/midi/anon_volta.mid</v>
      </c>
      <c r="AC120" s="0" t="n">
        <v>1573937405</v>
      </c>
      <c r="AD120" s="0" t="n">
        <v>1586042061</v>
      </c>
    </row>
    <row r="121" customFormat="false" ht="12.8" hidden="false" customHeight="false" outlineLevel="0" collapsed="false">
      <c r="A121" s="0" t="s">
        <v>371</v>
      </c>
      <c r="C121" s="0" t="s">
        <v>79</v>
      </c>
      <c r="E121" s="0" t="s">
        <v>154</v>
      </c>
      <c r="F121" s="0" t="s">
        <v>69</v>
      </c>
      <c r="H121" s="0" t="n">
        <v>1600</v>
      </c>
      <c r="I121" s="0" t="s">
        <v>262</v>
      </c>
      <c r="J121" s="0" t="s">
        <v>36</v>
      </c>
      <c r="K121" s="0" t="s">
        <v>36</v>
      </c>
      <c r="P121" s="0" t="s">
        <v>371</v>
      </c>
      <c r="R121" s="0" t="s">
        <v>372</v>
      </c>
      <c r="S121" s="0" t="s">
        <v>119</v>
      </c>
      <c r="T121" s="0" t="n">
        <v>3</v>
      </c>
      <c r="U121" s="0" t="s">
        <v>373</v>
      </c>
      <c r="V121" s="0" t="s">
        <v>143</v>
      </c>
      <c r="Z121" s="0" t="str">
        <f aca="false">HYPERLINK("http://lutemusic.org/composers/Anon/daphne/daphne_T.ft3")</f>
        <v>http://lutemusic.org/composers/Anon/daphne/daphne_T.ft3</v>
      </c>
      <c r="AA121" s="0" t="str">
        <f aca="false">HYPERLINK("http://lutemusic.org/composers/Anon/daphne/pdf/daphne_T.pdf")</f>
        <v>http://lutemusic.org/composers/Anon/daphne/pdf/daphne_T.pdf</v>
      </c>
      <c r="AB121" s="0" t="str">
        <f aca="false">HYPERLINK("http://lutemusic.org/composers/Anon/daphne/midi/daphne_T.mid")</f>
        <v>http://lutemusic.org/composers/Anon/daphne/midi/daphne_T.mid</v>
      </c>
      <c r="AC121" s="0" t="n">
        <v>1573937405</v>
      </c>
      <c r="AD121" s="0" t="n">
        <v>1586042061</v>
      </c>
    </row>
    <row r="122" customFormat="false" ht="12.8" hidden="false" customHeight="false" outlineLevel="0" collapsed="false">
      <c r="A122" s="0" t="s">
        <v>371</v>
      </c>
      <c r="C122" s="0" t="s">
        <v>79</v>
      </c>
      <c r="E122" s="0" t="s">
        <v>154</v>
      </c>
      <c r="F122" s="0" t="s">
        <v>69</v>
      </c>
      <c r="H122" s="0" t="n">
        <v>1600</v>
      </c>
      <c r="I122" s="0" t="s">
        <v>262</v>
      </c>
      <c r="J122" s="0" t="s">
        <v>36</v>
      </c>
      <c r="K122" s="0" t="s">
        <v>36</v>
      </c>
      <c r="L122" s="0" t="s">
        <v>36</v>
      </c>
      <c r="P122" s="0" t="s">
        <v>371</v>
      </c>
      <c r="R122" s="0" t="s">
        <v>83</v>
      </c>
      <c r="S122" s="0" t="s">
        <v>62</v>
      </c>
      <c r="T122" s="0" t="n">
        <v>2</v>
      </c>
      <c r="U122" s="0" t="s">
        <v>374</v>
      </c>
      <c r="V122" s="0" t="s">
        <v>375</v>
      </c>
      <c r="Z122" s="0" t="str">
        <f aca="false">HYPERLINK("http://lutemusic.org/composers/Anon/daphne/daphne_violin.ft3")</f>
        <v>http://lutemusic.org/composers/Anon/daphne/daphne_violin.ft3</v>
      </c>
      <c r="AA122" s="0" t="str">
        <f aca="false">HYPERLINK("http://lutemusic.org/composers/Anon/daphne/pdf/daphne_violin.pdf")</f>
        <v>http://lutemusic.org/composers/Anon/daphne/pdf/daphne_violin.pdf</v>
      </c>
      <c r="AB122" s="0" t="str">
        <f aca="false">HYPERLINK("http://lutemusic.org/composers/Anon/daphne/midi/daphne_violin.mid")</f>
        <v>http://lutemusic.org/composers/Anon/daphne/midi/daphne_violin.mid</v>
      </c>
      <c r="AC122" s="0" t="n">
        <v>1573937405</v>
      </c>
      <c r="AD122" s="0" t="n">
        <v>1586042061</v>
      </c>
    </row>
    <row r="123" customFormat="false" ht="12.8" hidden="false" customHeight="false" outlineLevel="0" collapsed="false">
      <c r="A123" s="0" t="s">
        <v>371</v>
      </c>
      <c r="C123" s="0" t="s">
        <v>79</v>
      </c>
      <c r="E123" s="0" t="s">
        <v>154</v>
      </c>
      <c r="F123" s="0" t="s">
        <v>69</v>
      </c>
      <c r="H123" s="0" t="n">
        <v>1600</v>
      </c>
      <c r="I123" s="0" t="s">
        <v>262</v>
      </c>
      <c r="J123" s="0" t="s">
        <v>36</v>
      </c>
      <c r="K123" s="0" t="s">
        <v>36</v>
      </c>
      <c r="L123" s="0" t="s">
        <v>36</v>
      </c>
      <c r="P123" s="0" t="s">
        <v>371</v>
      </c>
      <c r="R123" s="0" t="s">
        <v>83</v>
      </c>
      <c r="S123" s="0" t="s">
        <v>62</v>
      </c>
      <c r="T123" s="0" t="n">
        <v>2</v>
      </c>
      <c r="U123" s="0" t="s">
        <v>374</v>
      </c>
      <c r="V123" s="0" t="s">
        <v>143</v>
      </c>
      <c r="Z123" s="0" t="str">
        <f aca="false">HYPERLINK("http://lutemusic.org/composers/Anon/daphne/daphne_violin_T.ft3")</f>
        <v>http://lutemusic.org/composers/Anon/daphne/daphne_violin_T.ft3</v>
      </c>
      <c r="AA123" s="0" t="str">
        <f aca="false">HYPERLINK("http://lutemusic.org/composers/Anon/daphne/pdf/daphne_violin_T.pdf")</f>
        <v>http://lutemusic.org/composers/Anon/daphne/pdf/daphne_violin_T.pdf</v>
      </c>
      <c r="AB123" s="0" t="str">
        <f aca="false">HYPERLINK("http://lutemusic.org/composers/Anon/daphne/midi/daphne_violin_T.mid")</f>
        <v>http://lutemusic.org/composers/Anon/daphne/midi/daphne_violin_T.mid</v>
      </c>
      <c r="AC123" s="0" t="n">
        <v>1573937405</v>
      </c>
      <c r="AD123" s="0" t="n">
        <v>1586042061</v>
      </c>
    </row>
    <row r="124" customFormat="false" ht="12.8" hidden="false" customHeight="false" outlineLevel="0" collapsed="false">
      <c r="A124" s="0" t="s">
        <v>371</v>
      </c>
      <c r="C124" s="0" t="s">
        <v>79</v>
      </c>
      <c r="E124" s="0" t="s">
        <v>154</v>
      </c>
      <c r="F124" s="0" t="s">
        <v>69</v>
      </c>
      <c r="H124" s="0" t="n">
        <v>1600</v>
      </c>
      <c r="I124" s="0" t="s">
        <v>262</v>
      </c>
      <c r="J124" s="0" t="s">
        <v>36</v>
      </c>
      <c r="K124" s="0" t="s">
        <v>36</v>
      </c>
      <c r="P124" s="0" t="s">
        <v>371</v>
      </c>
      <c r="R124" s="0" t="s">
        <v>372</v>
      </c>
      <c r="S124" s="0" t="s">
        <v>119</v>
      </c>
      <c r="T124" s="0" t="n">
        <v>3</v>
      </c>
      <c r="U124" s="0" t="s">
        <v>373</v>
      </c>
      <c r="V124" s="0" t="s">
        <v>373</v>
      </c>
      <c r="Z124" s="0" t="str">
        <f aca="false">HYPERLINK("http://lutemusic.org/composers/Anon/daphne/daphne_VT.ft3")</f>
        <v>http://lutemusic.org/composers/Anon/daphne/daphne_VT.ft3</v>
      </c>
      <c r="AA124" s="0" t="str">
        <f aca="false">HYPERLINK("http://lutemusic.org/composers/Anon/daphne/pdf/daphne_VT.pdf")</f>
        <v>http://lutemusic.org/composers/Anon/daphne/pdf/daphne_VT.pdf</v>
      </c>
      <c r="AB124" s="0" t="str">
        <f aca="false">HYPERLINK("http://lutemusic.org/composers/Anon/daphne/midi/daphne_VT.mid")</f>
        <v>http://lutemusic.org/composers/Anon/daphne/midi/daphne_VT.mid</v>
      </c>
      <c r="AC124" s="0" t="n">
        <v>1573937405</v>
      </c>
      <c r="AD124" s="0" t="n">
        <v>1586042061</v>
      </c>
    </row>
    <row r="125" customFormat="false" ht="12.8" hidden="false" customHeight="false" outlineLevel="0" collapsed="false">
      <c r="A125" s="0" t="s">
        <v>376</v>
      </c>
      <c r="C125" s="0" t="s">
        <v>154</v>
      </c>
      <c r="E125" s="0" t="s">
        <v>377</v>
      </c>
      <c r="F125" s="0" t="s">
        <v>378</v>
      </c>
      <c r="H125" s="0" t="n">
        <v>1550</v>
      </c>
      <c r="I125" s="0" t="s">
        <v>306</v>
      </c>
      <c r="J125" s="0" t="s">
        <v>379</v>
      </c>
      <c r="K125" s="0" t="s">
        <v>36</v>
      </c>
      <c r="L125" s="0" t="s">
        <v>380</v>
      </c>
      <c r="O125" s="0" t="s">
        <v>381</v>
      </c>
      <c r="P125" s="0" t="s">
        <v>376</v>
      </c>
      <c r="R125" s="0" t="s">
        <v>382</v>
      </c>
      <c r="S125" s="0" t="s">
        <v>49</v>
      </c>
      <c r="T125" s="0" t="n">
        <v>2</v>
      </c>
      <c r="U125" s="0" t="s">
        <v>63</v>
      </c>
      <c r="Z125" s="0" t="str">
        <f aca="false">HYPERLINK("http://lutemusic.org/composers/Anon/fantasies/anon_xx1_recercare.ft3")</f>
        <v>http://lutemusic.org/composers/Anon/fantasies/anon_xx1_recercare.ft3</v>
      </c>
      <c r="AA125" s="0" t="str">
        <f aca="false">HYPERLINK("http://lutemusic.org/composers/Anon/fantasies/pdf/anon_xx1_recercare.pdf")</f>
        <v>http://lutemusic.org/composers/Anon/fantasies/pdf/anon_xx1_recercare.pdf</v>
      </c>
      <c r="AB125" s="0" t="str">
        <f aca="false">HYPERLINK("http://lutemusic.org/composers/Anon/fantasies/midi/anon_xx1_recercare.mid")</f>
        <v>http://lutemusic.org/composers/Anon/fantasies/midi/anon_xx1_recercare.mid</v>
      </c>
      <c r="AC125" s="0" t="n">
        <v>1573937405</v>
      </c>
      <c r="AD125" s="0" t="n">
        <v>1586042061</v>
      </c>
    </row>
    <row r="126" customFormat="false" ht="12.8" hidden="false" customHeight="false" outlineLevel="0" collapsed="false">
      <c r="A126" s="0" t="s">
        <v>383</v>
      </c>
      <c r="C126" s="0" t="s">
        <v>79</v>
      </c>
      <c r="E126" s="0" t="s">
        <v>154</v>
      </c>
      <c r="F126" s="0" t="s">
        <v>69</v>
      </c>
      <c r="H126" s="0" t="n">
        <v>1610</v>
      </c>
      <c r="I126" s="0" t="s">
        <v>325</v>
      </c>
      <c r="J126" s="0" t="s">
        <v>36</v>
      </c>
      <c r="K126" s="0" t="s">
        <v>36</v>
      </c>
      <c r="P126" s="0" t="s">
        <v>383</v>
      </c>
      <c r="R126" s="0" t="s">
        <v>61</v>
      </c>
      <c r="S126" s="0" t="s">
        <v>119</v>
      </c>
      <c r="T126" s="0" t="n">
        <v>3</v>
      </c>
      <c r="U126" s="0" t="s">
        <v>63</v>
      </c>
      <c r="Z126" s="0" t="str">
        <f aca="false">HYPERLINK("http://lutemusic.org/composers/Anon/fantasies/fantasia_10.ft3")</f>
        <v>http://lutemusic.org/composers/Anon/fantasies/fantasia_10.ft3</v>
      </c>
      <c r="AA126" s="0" t="str">
        <f aca="false">HYPERLINK("http://lutemusic.org/composers/Anon/fantasies/pdf/fantasia_10.pdf")</f>
        <v>http://lutemusic.org/composers/Anon/fantasies/pdf/fantasia_10.pdf</v>
      </c>
      <c r="AB126" s="0" t="str">
        <f aca="false">HYPERLINK("http://lutemusic.org/composers/Anon/fantasies/midi/fantasia_10.mid")</f>
        <v>http://lutemusic.org/composers/Anon/fantasies/midi/fantasia_10.mid</v>
      </c>
      <c r="AC126" s="0" t="n">
        <v>1573937405</v>
      </c>
      <c r="AD126" s="0" t="n">
        <v>1586042061</v>
      </c>
    </row>
    <row r="127" customFormat="false" ht="12.8" hidden="false" customHeight="false" outlineLevel="0" collapsed="false">
      <c r="A127" s="0" t="s">
        <v>384</v>
      </c>
      <c r="C127" s="0" t="s">
        <v>79</v>
      </c>
      <c r="E127" s="0" t="s">
        <v>154</v>
      </c>
      <c r="F127" s="0" t="s">
        <v>385</v>
      </c>
      <c r="H127" s="0" t="n">
        <v>1550</v>
      </c>
      <c r="J127" s="0" t="s">
        <v>36</v>
      </c>
      <c r="K127" s="0" t="s">
        <v>36</v>
      </c>
      <c r="L127" s="0" t="s">
        <v>36</v>
      </c>
      <c r="P127" s="0" t="s">
        <v>384</v>
      </c>
      <c r="R127" s="0" t="s">
        <v>83</v>
      </c>
      <c r="S127" s="0" t="s">
        <v>66</v>
      </c>
      <c r="T127" s="0" t="n">
        <v>2</v>
      </c>
      <c r="U127" s="0" t="s">
        <v>63</v>
      </c>
      <c r="Z127" s="0" t="str">
        <f aca="false">HYPERLINK("http://lutemusic.org/composers/Anon/greensleeves/greensleeves.ft3")</f>
        <v>http://lutemusic.org/composers/Anon/greensleeves/greensleeves.ft3</v>
      </c>
      <c r="AA127" s="0" t="str">
        <f aca="false">HYPERLINK("http://lutemusic.org/composers/Anon/greensleeves/pdf/greensleeves.pdf")</f>
        <v>http://lutemusic.org/composers/Anon/greensleeves/pdf/greensleeves.pdf</v>
      </c>
      <c r="AB127" s="0" t="str">
        <f aca="false">HYPERLINK("http://lutemusic.org/composers/Anon/greensleeves/midi/greensleeves.mid")</f>
        <v>http://lutemusic.org/composers/Anon/greensleeves/midi/greensleeves.mid</v>
      </c>
      <c r="AC127" s="0" t="n">
        <v>1573937405</v>
      </c>
      <c r="AD127" s="0" t="n">
        <v>1586042061</v>
      </c>
    </row>
    <row r="128" customFormat="false" ht="12.8" hidden="false" customHeight="false" outlineLevel="0" collapsed="false">
      <c r="A128" s="0" t="s">
        <v>384</v>
      </c>
      <c r="C128" s="0" t="s">
        <v>79</v>
      </c>
      <c r="E128" s="0" t="s">
        <v>154</v>
      </c>
      <c r="F128" s="0" t="s">
        <v>386</v>
      </c>
      <c r="H128" s="0" t="n">
        <v>1592</v>
      </c>
      <c r="I128" s="0" t="s">
        <v>387</v>
      </c>
      <c r="J128" s="0" t="s">
        <v>36</v>
      </c>
      <c r="K128" s="0" t="s">
        <v>36</v>
      </c>
      <c r="P128" s="0" t="s">
        <v>384</v>
      </c>
      <c r="R128" s="0" t="s">
        <v>83</v>
      </c>
      <c r="S128" s="0" t="s">
        <v>66</v>
      </c>
      <c r="T128" s="0" t="n">
        <v>2</v>
      </c>
      <c r="U128" s="0" t="s">
        <v>63</v>
      </c>
      <c r="Z128" s="0" t="str">
        <f aca="false">HYPERLINK("http://lutemusic.org/composers/Anon/greensleeves/greensleeves_j.ft3")</f>
        <v>http://lutemusic.org/composers/Anon/greensleeves/greensleeves_j.ft3</v>
      </c>
      <c r="AA128" s="0" t="str">
        <f aca="false">HYPERLINK("http://lutemusic.org/composers/Anon/greensleeves/pdf/greensleeves_j.pdf")</f>
        <v>http://lutemusic.org/composers/Anon/greensleeves/pdf/greensleeves_j.pdf</v>
      </c>
      <c r="AB128" s="0" t="str">
        <f aca="false">HYPERLINK("http://lutemusic.org/composers/Anon/greensleeves/midi/greensleeves_j.mid")</f>
        <v>http://lutemusic.org/composers/Anon/greensleeves/midi/greensleeves_j.mid</v>
      </c>
      <c r="AC128" s="0" t="n">
        <v>1573937405</v>
      </c>
      <c r="AD128" s="0" t="n">
        <v>1586042061</v>
      </c>
    </row>
    <row r="129" customFormat="false" ht="12.8" hidden="false" customHeight="false" outlineLevel="0" collapsed="false">
      <c r="A129" s="0" t="s">
        <v>388</v>
      </c>
      <c r="C129" s="0" t="s">
        <v>79</v>
      </c>
      <c r="E129" s="0" t="s">
        <v>389</v>
      </c>
      <c r="F129" s="0" t="s">
        <v>390</v>
      </c>
      <c r="H129" s="0" t="n">
        <v>1600</v>
      </c>
      <c r="I129" s="0" t="s">
        <v>391</v>
      </c>
      <c r="J129" s="0" t="s">
        <v>36</v>
      </c>
      <c r="K129" s="0" t="s">
        <v>36</v>
      </c>
      <c r="P129" s="0" t="s">
        <v>388</v>
      </c>
      <c r="R129" s="0" t="s">
        <v>181</v>
      </c>
      <c r="S129" s="0" t="s">
        <v>38</v>
      </c>
      <c r="T129" s="0" t="n">
        <v>3</v>
      </c>
      <c r="U129" s="0" t="s">
        <v>244</v>
      </c>
      <c r="Z129" s="0" t="str">
        <f aca="false">HYPERLINK("http://lutemusic.org/composers/Anon/nuernburg_lute_book/nurn_corente.ft3")</f>
        <v>http://lutemusic.org/composers/Anon/nuernburg_lute_book/nurn_corente.ft3</v>
      </c>
      <c r="AA129" s="0" t="str">
        <f aca="false">HYPERLINK("http://lutemusic.org/composers/Anon/nuernburg_lute_book/pdf/nurn_corente.pdf")</f>
        <v>http://lutemusic.org/composers/Anon/nuernburg_lute_book/pdf/nurn_corente.pdf</v>
      </c>
      <c r="AB129" s="0" t="str">
        <f aca="false">HYPERLINK("http://lutemusic.org/composers/Anon/nuernburg_lute_book/midi/nurn_corente.mid")</f>
        <v>http://lutemusic.org/composers/Anon/nuernburg_lute_book/midi/nurn_corente.mid</v>
      </c>
      <c r="AC129" s="0" t="n">
        <v>1573937406</v>
      </c>
      <c r="AD129" s="0" t="n">
        <v>1586042061</v>
      </c>
    </row>
    <row r="130" customFormat="false" ht="12.8" hidden="false" customHeight="false" outlineLevel="0" collapsed="false">
      <c r="A130" s="0" t="s">
        <v>392</v>
      </c>
      <c r="C130" s="0" t="s">
        <v>79</v>
      </c>
      <c r="E130" s="0" t="s">
        <v>389</v>
      </c>
      <c r="F130" s="0" t="s">
        <v>390</v>
      </c>
      <c r="H130" s="0" t="n">
        <v>1600</v>
      </c>
      <c r="J130" s="0" t="s">
        <v>36</v>
      </c>
      <c r="K130" s="0" t="s">
        <v>36</v>
      </c>
      <c r="P130" s="0" t="s">
        <v>392</v>
      </c>
      <c r="R130" s="0" t="s">
        <v>202</v>
      </c>
      <c r="S130" s="0" t="s">
        <v>66</v>
      </c>
      <c r="T130" s="0" t="n">
        <v>2</v>
      </c>
      <c r="U130" s="0" t="s">
        <v>63</v>
      </c>
      <c r="Z130" s="0" t="str">
        <f aca="false">HYPERLINK("http://lutemusic.org/composers/Anon/nuernburg_lute_book/nurn_galliarda_aliter.ft3")</f>
        <v>http://lutemusic.org/composers/Anon/nuernburg_lute_book/nurn_galliarda_aliter.ft3</v>
      </c>
      <c r="AA130" s="0" t="str">
        <f aca="false">HYPERLINK("http://lutemusic.org/composers/Anon/nuernburg_lute_book/pdf/nurn_galliarda_aliter.pdf")</f>
        <v>http://lutemusic.org/composers/Anon/nuernburg_lute_book/pdf/nurn_galliarda_aliter.pdf</v>
      </c>
      <c r="AB130" s="0" t="str">
        <f aca="false">HYPERLINK("http://lutemusic.org/composers/Anon/nuernburg_lute_book/midi/nurn_galliarda_aliter.mid")</f>
        <v>http://lutemusic.org/composers/Anon/nuernburg_lute_book/midi/nurn_galliarda_aliter.mid</v>
      </c>
      <c r="AC130" s="0" t="n">
        <v>1573937406</v>
      </c>
      <c r="AD130" s="0" t="n">
        <v>1586042061</v>
      </c>
    </row>
    <row r="131" customFormat="false" ht="12.8" hidden="false" customHeight="false" outlineLevel="0" collapsed="false">
      <c r="A131" s="0" t="s">
        <v>393</v>
      </c>
      <c r="C131" s="0" t="s">
        <v>79</v>
      </c>
      <c r="E131" s="0" t="s">
        <v>394</v>
      </c>
      <c r="F131" s="0" t="s">
        <v>395</v>
      </c>
      <c r="H131" s="0" t="n">
        <v>1605</v>
      </c>
      <c r="J131" s="0" t="s">
        <v>36</v>
      </c>
      <c r="K131" s="0" t="s">
        <v>36</v>
      </c>
      <c r="L131" s="0" t="s">
        <v>36</v>
      </c>
      <c r="P131" s="0" t="s">
        <v>393</v>
      </c>
      <c r="R131" s="0" t="s">
        <v>51</v>
      </c>
      <c r="S131" s="0" t="s">
        <v>49</v>
      </c>
      <c r="T131" s="0" t="n">
        <v>2</v>
      </c>
      <c r="U131" s="0" t="s">
        <v>396</v>
      </c>
      <c r="V131" s="0" t="s">
        <v>396</v>
      </c>
      <c r="Z131" s="0" t="str">
        <f aca="false">HYPERLINK("http://lutemusic.org/composers/Anon/songs/and_let_me_the_cannakin_clink/and_let_me_the_cannakin_clink.ft3")</f>
        <v>http://lutemusic.org/composers/Anon/songs/and_let_me_the_cannakin_clink/and_let_me_the_cannakin_clink.ft3</v>
      </c>
      <c r="AA131" s="0" t="str">
        <f aca="false">HYPERLINK("http://lutemusic.org/composers/Anon/songs/and_let_me_the_cannakin_clink/pdf/and_let_me_the_cannakin_clink.pdf")</f>
        <v>http://lutemusic.org/composers/Anon/songs/and_let_me_the_cannakin_clink/pdf/and_let_me_the_cannakin_clink.pdf</v>
      </c>
      <c r="AB131" s="0" t="str">
        <f aca="false">HYPERLINK("http://lutemusic.org/composers/Anon/songs/and_let_me_the_cannakin_clink/midi/and_let_me_the_cannakin_clink.mid")</f>
        <v>http://lutemusic.org/composers/Anon/songs/and_let_me_the_cannakin_clink/midi/and_let_me_the_cannakin_clink.mid</v>
      </c>
      <c r="AC131" s="0" t="n">
        <v>1573937406</v>
      </c>
      <c r="AD131" s="0" t="n">
        <v>1586042061</v>
      </c>
    </row>
    <row r="132" customFormat="false" ht="12.8" hidden="false" customHeight="false" outlineLevel="0" collapsed="false">
      <c r="A132" s="0" t="s">
        <v>393</v>
      </c>
      <c r="C132" s="0" t="s">
        <v>79</v>
      </c>
      <c r="E132" s="0" t="s">
        <v>394</v>
      </c>
      <c r="F132" s="0" t="s">
        <v>395</v>
      </c>
      <c r="H132" s="0" t="n">
        <v>1605</v>
      </c>
      <c r="J132" s="0" t="s">
        <v>36</v>
      </c>
      <c r="K132" s="0" t="s">
        <v>36</v>
      </c>
      <c r="L132" s="0" t="s">
        <v>36</v>
      </c>
      <c r="P132" s="0" t="s">
        <v>393</v>
      </c>
      <c r="R132" s="0" t="s">
        <v>51</v>
      </c>
      <c r="S132" s="0" t="s">
        <v>49</v>
      </c>
      <c r="T132" s="0" t="n">
        <v>2</v>
      </c>
      <c r="U132" s="0" t="s">
        <v>396</v>
      </c>
      <c r="V132" s="0" t="s">
        <v>53</v>
      </c>
      <c r="Z132" s="0" t="str">
        <f aca="false">HYPERLINK("http://lutemusic.org/composers/Anon/songs/and_let_me_the_cannakin_clink/and_let_me_the_cannakin_clink_T.ft3")</f>
        <v>http://lutemusic.org/composers/Anon/songs/and_let_me_the_cannakin_clink/and_let_me_the_cannakin_clink_T.ft3</v>
      </c>
      <c r="AA132" s="0" t="str">
        <f aca="false">HYPERLINK("http://lutemusic.org/composers/Anon/songs/and_let_me_the_cannakin_clink/pdf/and_let_me_the_cannakin_clink_T.pdf")</f>
        <v>http://lutemusic.org/composers/Anon/songs/and_let_me_the_cannakin_clink/pdf/and_let_me_the_cannakin_clink_T.pdf</v>
      </c>
      <c r="AB132" s="0" t="str">
        <f aca="false">HYPERLINK("http://lutemusic.org/composers/Anon/songs/and_let_me_the_cannakin_clink/midi/and_let_me_the_cannakin_clink_T.mid")</f>
        <v>http://lutemusic.org/composers/Anon/songs/and_let_me_the_cannakin_clink/midi/and_let_me_the_cannakin_clink_T.mid</v>
      </c>
      <c r="AC132" s="0" t="n">
        <v>1573937406</v>
      </c>
      <c r="AD132" s="0" t="n">
        <v>1586042061</v>
      </c>
    </row>
    <row r="133" customFormat="false" ht="12.8" hidden="false" customHeight="false" outlineLevel="0" collapsed="false">
      <c r="A133" s="0" t="s">
        <v>397</v>
      </c>
      <c r="C133" s="0" t="s">
        <v>79</v>
      </c>
      <c r="E133" s="0" t="s">
        <v>398</v>
      </c>
      <c r="F133" s="0" t="s">
        <v>399</v>
      </c>
      <c r="H133" s="0" t="n">
        <v>1556</v>
      </c>
      <c r="I133" s="0" t="s">
        <v>265</v>
      </c>
      <c r="J133" s="0" t="s">
        <v>36</v>
      </c>
      <c r="K133" s="0" t="s">
        <v>36</v>
      </c>
      <c r="P133" s="0" t="s">
        <v>397</v>
      </c>
      <c r="R133" s="0" t="s">
        <v>51</v>
      </c>
      <c r="S133" s="0" t="s">
        <v>119</v>
      </c>
      <c r="T133" s="0" t="n">
        <v>2</v>
      </c>
      <c r="U133" s="0" t="s">
        <v>400</v>
      </c>
      <c r="V133" s="0" t="s">
        <v>400</v>
      </c>
      <c r="Z133" s="0" t="str">
        <f aca="false">HYPERLINK("http://lutemusic.org/composers/Anon/songs/ay_luna/ay_luna.ft3")</f>
        <v>http://lutemusic.org/composers/Anon/songs/ay_luna/ay_luna.ft3</v>
      </c>
      <c r="AA133" s="0" t="str">
        <f aca="false">HYPERLINK("http://lutemusic.org/composers/Anon/songs/ay_luna/pdf/ay_luna.pdf")</f>
        <v>http://lutemusic.org/composers/Anon/songs/ay_luna/pdf/ay_luna.pdf</v>
      </c>
      <c r="AB133" s="0" t="str">
        <f aca="false">HYPERLINK("http://lutemusic.org/composers/Anon/songs/ay_luna/midi/ay_luna.mid")</f>
        <v>http://lutemusic.org/composers/Anon/songs/ay_luna/midi/ay_luna.mid</v>
      </c>
      <c r="AC133" s="0" t="n">
        <v>1573937406</v>
      </c>
      <c r="AD133" s="0" t="n">
        <v>1586042061</v>
      </c>
    </row>
    <row r="134" customFormat="false" ht="12.8" hidden="false" customHeight="false" outlineLevel="0" collapsed="false">
      <c r="A134" s="0" t="s">
        <v>397</v>
      </c>
      <c r="C134" s="0" t="s">
        <v>79</v>
      </c>
      <c r="E134" s="0" t="s">
        <v>398</v>
      </c>
      <c r="F134" s="0" t="s">
        <v>399</v>
      </c>
      <c r="H134" s="0" t="n">
        <v>1556</v>
      </c>
      <c r="I134" s="0" t="s">
        <v>265</v>
      </c>
      <c r="J134" s="0" t="s">
        <v>36</v>
      </c>
      <c r="K134" s="0" t="s">
        <v>36</v>
      </c>
      <c r="P134" s="0" t="s">
        <v>397</v>
      </c>
      <c r="R134" s="0" t="s">
        <v>51</v>
      </c>
      <c r="S134" s="0" t="s">
        <v>119</v>
      </c>
      <c r="T134" s="0" t="n">
        <v>2</v>
      </c>
      <c r="U134" s="0" t="s">
        <v>400</v>
      </c>
      <c r="V134" s="0" t="s">
        <v>63</v>
      </c>
      <c r="Z134" s="0" t="str">
        <f aca="false">HYPERLINK("http://lutemusic.org/composers/Anon/songs/ay_luna/ay_luna_T.ft3")</f>
        <v>http://lutemusic.org/composers/Anon/songs/ay_luna/ay_luna_T.ft3</v>
      </c>
      <c r="AA134" s="0" t="str">
        <f aca="false">HYPERLINK("http://lutemusic.org/composers/Anon/songs/ay_luna/pdf/ay_luna_T.pdf")</f>
        <v>http://lutemusic.org/composers/Anon/songs/ay_luna/pdf/ay_luna_T.pdf</v>
      </c>
      <c r="AB134" s="0" t="str">
        <f aca="false">HYPERLINK("http://lutemusic.org/composers/Anon/songs/ay_luna/midi/ay_luna_T.mid")</f>
        <v>http://lutemusic.org/composers/Anon/songs/ay_luna/midi/ay_luna_T.mid</v>
      </c>
      <c r="AC134" s="0" t="n">
        <v>1573937406</v>
      </c>
      <c r="AD134" s="0" t="n">
        <v>1586042061</v>
      </c>
    </row>
    <row r="135" customFormat="false" ht="12.8" hidden="false" customHeight="false" outlineLevel="0" collapsed="false">
      <c r="A135" s="0" t="s">
        <v>401</v>
      </c>
      <c r="C135" s="0" t="s">
        <v>79</v>
      </c>
      <c r="E135" s="0" t="s">
        <v>402</v>
      </c>
      <c r="F135" s="0" t="s">
        <v>403</v>
      </c>
      <c r="H135" s="0" t="n">
        <v>1584</v>
      </c>
      <c r="I135" s="0" t="s">
        <v>404</v>
      </c>
      <c r="J135" s="0" t="s">
        <v>36</v>
      </c>
      <c r="K135" s="0" t="s">
        <v>405</v>
      </c>
      <c r="P135" s="0" t="s">
        <v>401</v>
      </c>
      <c r="R135" s="0" t="s">
        <v>406</v>
      </c>
      <c r="S135" s="0" t="s">
        <v>84</v>
      </c>
      <c r="T135" s="0" t="n">
        <v>3</v>
      </c>
      <c r="U135" s="0" t="s">
        <v>407</v>
      </c>
      <c r="V135" s="0" t="s">
        <v>407</v>
      </c>
      <c r="Z135" s="0" t="str">
        <f aca="false">HYPERLINK("http://lutemusic.org/composers/Anon/songs/d_un_coeur_loyal/09_d_un_coeur_loyal.ft3")</f>
        <v>http://lutemusic.org/composers/Anon/songs/d_un_coeur_loyal/09_d_un_coeur_loyal.ft3</v>
      </c>
      <c r="AA135" s="0" t="str">
        <f aca="false">HYPERLINK("http://lutemusic.org/composers/Anon/songs/d_un_coeur_loyal/pdf/09_d_un_coeur_loyal.pdf")</f>
        <v>http://lutemusic.org/composers/Anon/songs/d_un_coeur_loyal/pdf/09_d_un_coeur_loyal.pdf</v>
      </c>
      <c r="AB135" s="0" t="str">
        <f aca="false">HYPERLINK("http://lutemusic.org/composers/Anon/songs/d_un_coeur_loyal/midi/09_d_un_coeur_loyal.mid")</f>
        <v>http://lutemusic.org/composers/Anon/songs/d_un_coeur_loyal/midi/09_d_un_coeur_loyal.mid</v>
      </c>
      <c r="AC135" s="0" t="n">
        <v>1573937406</v>
      </c>
      <c r="AD135" s="0" t="n">
        <v>1586042061</v>
      </c>
    </row>
    <row r="136" customFormat="false" ht="12.8" hidden="false" customHeight="false" outlineLevel="0" collapsed="false">
      <c r="A136" s="0" t="s">
        <v>401</v>
      </c>
      <c r="C136" s="0" t="s">
        <v>79</v>
      </c>
      <c r="E136" s="0" t="s">
        <v>402</v>
      </c>
      <c r="F136" s="0" t="s">
        <v>403</v>
      </c>
      <c r="H136" s="0" t="n">
        <v>1584</v>
      </c>
      <c r="I136" s="0" t="s">
        <v>404</v>
      </c>
      <c r="J136" s="0" t="s">
        <v>36</v>
      </c>
      <c r="K136" s="0" t="s">
        <v>405</v>
      </c>
      <c r="P136" s="0" t="s">
        <v>401</v>
      </c>
      <c r="R136" s="0" t="s">
        <v>406</v>
      </c>
      <c r="S136" s="0" t="s">
        <v>84</v>
      </c>
      <c r="T136" s="0" t="n">
        <v>3</v>
      </c>
      <c r="U136" s="0" t="s">
        <v>407</v>
      </c>
      <c r="V136" s="0" t="s">
        <v>63</v>
      </c>
      <c r="Z136" s="0" t="str">
        <f aca="false">HYPERLINK("http://lutemusic.org/composers/Anon/songs/d_un_coeur_loyal/09_d_un_coeur_loyal_T.ft3")</f>
        <v>http://lutemusic.org/composers/Anon/songs/d_un_coeur_loyal/09_d_un_coeur_loyal_T.ft3</v>
      </c>
      <c r="AA136" s="0" t="str">
        <f aca="false">HYPERLINK("http://lutemusic.org/composers/Anon/songs/d_un_coeur_loyal/pdf/09_d_un_coeur_loyal_T.pdf")</f>
        <v>http://lutemusic.org/composers/Anon/songs/d_un_coeur_loyal/pdf/09_d_un_coeur_loyal_T.pdf</v>
      </c>
      <c r="AB136" s="0" t="str">
        <f aca="false">HYPERLINK("http://lutemusic.org/composers/Anon/songs/d_un_coeur_loyal/midi/09_d_un_coeur_loyal_T.mid")</f>
        <v>http://lutemusic.org/composers/Anon/songs/d_un_coeur_loyal/midi/09_d_un_coeur_loyal_T.mid</v>
      </c>
      <c r="AC136" s="0" t="n">
        <v>1573937406</v>
      </c>
      <c r="AD136" s="0" t="n">
        <v>1586042061</v>
      </c>
    </row>
    <row r="137" customFormat="false" ht="12.8" hidden="false" customHeight="false" outlineLevel="0" collapsed="false">
      <c r="A137" s="0" t="s">
        <v>408</v>
      </c>
      <c r="C137" s="0" t="s">
        <v>79</v>
      </c>
      <c r="E137" s="0" t="s">
        <v>94</v>
      </c>
      <c r="F137" s="0" t="s">
        <v>95</v>
      </c>
      <c r="H137" s="0" t="n">
        <v>1529</v>
      </c>
      <c r="I137" s="0" t="s">
        <v>409</v>
      </c>
      <c r="J137" s="0" t="s">
        <v>36</v>
      </c>
      <c r="K137" s="0" t="s">
        <v>36</v>
      </c>
      <c r="P137" s="0" t="s">
        <v>408</v>
      </c>
      <c r="R137" s="0" t="s">
        <v>372</v>
      </c>
      <c r="S137" s="0" t="s">
        <v>49</v>
      </c>
      <c r="T137" s="0" t="n">
        <v>2</v>
      </c>
      <c r="U137" s="0" t="s">
        <v>410</v>
      </c>
      <c r="V137" s="0" t="s">
        <v>410</v>
      </c>
      <c r="Y137" s="0" t="str">
        <f aca="false">HYPERLINK("http://lutemusic.org/facsimiles/AttaingnantP/Tres_Breve_et_Familiere_Introduction_1529/09.png")</f>
        <v>http://lutemusic.org/facsimiles/AttaingnantP/Tres_Breve_et_Familiere_Introduction_1529/09.png</v>
      </c>
      <c r="Z137" s="0" t="str">
        <f aca="false">HYPERLINK("http://lutemusic.org/composers/Anon/songs/fortune_laisse_moy_ma_vie/09_fortune_laisse_moy_ma_vie.ft3")</f>
        <v>http://lutemusic.org/composers/Anon/songs/fortune_laisse_moy_ma_vie/09_fortune_laisse_moy_ma_vie.ft3</v>
      </c>
      <c r="AA137" s="0" t="str">
        <f aca="false">HYPERLINK("http://lutemusic.org/composers/Anon/songs/fortune_laisse_moy_ma_vie/pdf/09_fortune_laisse_moy_ma_vie.pdf")</f>
        <v>http://lutemusic.org/composers/Anon/songs/fortune_laisse_moy_ma_vie/pdf/09_fortune_laisse_moy_ma_vie.pdf</v>
      </c>
      <c r="AB137" s="0" t="str">
        <f aca="false">HYPERLINK("http://lutemusic.org/composers/Anon/songs/fortune_laisse_moy_ma_vie/midi/09_fortune_laisse_moy_ma_vie.mid")</f>
        <v>http://lutemusic.org/composers/Anon/songs/fortune_laisse_moy_ma_vie/midi/09_fortune_laisse_moy_ma_vie.mid</v>
      </c>
      <c r="AC137" s="0" t="n">
        <v>1573937406</v>
      </c>
      <c r="AD137" s="0" t="n">
        <v>1588468778</v>
      </c>
    </row>
    <row r="138" customFormat="false" ht="12.8" hidden="false" customHeight="false" outlineLevel="0" collapsed="false">
      <c r="A138" s="0" t="s">
        <v>408</v>
      </c>
      <c r="C138" s="0" t="s">
        <v>79</v>
      </c>
      <c r="E138" s="0" t="s">
        <v>94</v>
      </c>
      <c r="F138" s="0" t="s">
        <v>95</v>
      </c>
      <c r="H138" s="0" t="n">
        <v>1529</v>
      </c>
      <c r="I138" s="0" t="s">
        <v>409</v>
      </c>
      <c r="J138" s="0" t="s">
        <v>36</v>
      </c>
      <c r="K138" s="0" t="s">
        <v>36</v>
      </c>
      <c r="P138" s="0" t="s">
        <v>408</v>
      </c>
      <c r="R138" s="0" t="s">
        <v>372</v>
      </c>
      <c r="S138" s="0" t="s">
        <v>49</v>
      </c>
      <c r="T138" s="0" t="n">
        <v>2</v>
      </c>
      <c r="U138" s="0" t="s">
        <v>411</v>
      </c>
      <c r="V138" s="0" t="s">
        <v>63</v>
      </c>
      <c r="Y138" s="0" t="str">
        <f aca="false">HYPERLINK("http://lutemusic.org/facsimiles/AttaingnantP/Tres_Breve_et_Familiere_Introduction_1529/09.png")</f>
        <v>http://lutemusic.org/facsimiles/AttaingnantP/Tres_Breve_et_Familiere_Introduction_1529/09.png</v>
      </c>
      <c r="Z138" s="0" t="str">
        <f aca="false">HYPERLINK("http://lutemusic.org/composers/Anon/songs/fortune_laisse_moy_ma_vie/09_fortune_laisse_moy_ma_vie_T.ft3")</f>
        <v>http://lutemusic.org/composers/Anon/songs/fortune_laisse_moy_ma_vie/09_fortune_laisse_moy_ma_vie_T.ft3</v>
      </c>
      <c r="AA138" s="0" t="str">
        <f aca="false">HYPERLINK("http://lutemusic.org/composers/Anon/songs/fortune_laisse_moy_ma_vie/pdf/09_fortune_laisse_moy_ma_vie_T.pdf")</f>
        <v>http://lutemusic.org/composers/Anon/songs/fortune_laisse_moy_ma_vie/pdf/09_fortune_laisse_moy_ma_vie_T.pdf</v>
      </c>
      <c r="AB138" s="0" t="str">
        <f aca="false">HYPERLINK("http://lutemusic.org/composers/Anon/songs/fortune_laisse_moy_ma_vie/midi/09_fortune_laisse_moy_ma_vie_T.mid")</f>
        <v>http://lutemusic.org/composers/Anon/songs/fortune_laisse_moy_ma_vie/midi/09_fortune_laisse_moy_ma_vie_T.mid</v>
      </c>
      <c r="AC138" s="0" t="n">
        <v>1573937406</v>
      </c>
      <c r="AD138" s="0" t="n">
        <v>1588468778</v>
      </c>
    </row>
    <row r="139" customFormat="false" ht="12.8" hidden="false" customHeight="false" outlineLevel="0" collapsed="false">
      <c r="A139" s="0" t="s">
        <v>412</v>
      </c>
      <c r="C139" s="0" t="s">
        <v>79</v>
      </c>
      <c r="E139" s="0" t="s">
        <v>402</v>
      </c>
      <c r="F139" s="0" t="s">
        <v>403</v>
      </c>
      <c r="H139" s="0" t="n">
        <v>1584</v>
      </c>
      <c r="I139" s="0" t="s">
        <v>413</v>
      </c>
      <c r="J139" s="0" t="s">
        <v>36</v>
      </c>
      <c r="K139" s="0" t="s">
        <v>405</v>
      </c>
      <c r="P139" s="0" t="s">
        <v>412</v>
      </c>
      <c r="R139" s="0" t="s">
        <v>51</v>
      </c>
      <c r="S139" s="0" t="s">
        <v>49</v>
      </c>
      <c r="T139" s="0" t="n">
        <v>2</v>
      </c>
      <c r="U139" s="0" t="s">
        <v>407</v>
      </c>
      <c r="V139" s="0" t="s">
        <v>407</v>
      </c>
      <c r="Z139" s="0" t="str">
        <f aca="false">HYPERLINK("http://lutemusic.org/composers/Anon/songs/ghevare/17_ghevare.ft3")</f>
        <v>http://lutemusic.org/composers/Anon/songs/ghevare/17_ghevare.ft3</v>
      </c>
      <c r="AA139" s="0" t="str">
        <f aca="false">HYPERLINK("http://lutemusic.org/composers/Anon/songs/ghevare/pdf/17_ghevare.pdf")</f>
        <v>http://lutemusic.org/composers/Anon/songs/ghevare/pdf/17_ghevare.pdf</v>
      </c>
      <c r="AB139" s="0" t="str">
        <f aca="false">HYPERLINK("http://lutemusic.org/composers/Anon/songs/ghevare/midi/17_ghevare.mid")</f>
        <v>http://lutemusic.org/composers/Anon/songs/ghevare/midi/17_ghevare.mid</v>
      </c>
      <c r="AC139" s="0" t="n">
        <v>1573937406</v>
      </c>
      <c r="AD139" s="0" t="n">
        <v>1586042061</v>
      </c>
    </row>
    <row r="140" customFormat="false" ht="12.8" hidden="false" customHeight="false" outlineLevel="0" collapsed="false">
      <c r="A140" s="0" t="s">
        <v>412</v>
      </c>
      <c r="C140" s="0" t="s">
        <v>79</v>
      </c>
      <c r="E140" s="0" t="s">
        <v>402</v>
      </c>
      <c r="F140" s="0" t="s">
        <v>403</v>
      </c>
      <c r="H140" s="0" t="n">
        <v>1584</v>
      </c>
      <c r="I140" s="0" t="s">
        <v>413</v>
      </c>
      <c r="J140" s="0" t="s">
        <v>36</v>
      </c>
      <c r="K140" s="0" t="s">
        <v>405</v>
      </c>
      <c r="P140" s="0" t="s">
        <v>412</v>
      </c>
      <c r="R140" s="0" t="s">
        <v>51</v>
      </c>
      <c r="S140" s="0" t="s">
        <v>49</v>
      </c>
      <c r="T140" s="0" t="n">
        <v>2</v>
      </c>
      <c r="U140" s="0" t="s">
        <v>407</v>
      </c>
      <c r="V140" s="0" t="s">
        <v>63</v>
      </c>
      <c r="Z140" s="0" t="str">
        <f aca="false">HYPERLINK("http://lutemusic.org/composers/Anon/songs/ghevare/17_ghevare_T.ft3")</f>
        <v>http://lutemusic.org/composers/Anon/songs/ghevare/17_ghevare_T.ft3</v>
      </c>
      <c r="AA140" s="0" t="str">
        <f aca="false">HYPERLINK("http://lutemusic.org/composers/Anon/songs/ghevare/pdf/17_ghevare_T.pdf")</f>
        <v>http://lutemusic.org/composers/Anon/songs/ghevare/pdf/17_ghevare_T.pdf</v>
      </c>
      <c r="AB140" s="0" t="str">
        <f aca="false">HYPERLINK("http://lutemusic.org/composers/Anon/songs/ghevare/midi/17_ghevare_T.mid")</f>
        <v>http://lutemusic.org/composers/Anon/songs/ghevare/midi/17_ghevare_T.mid</v>
      </c>
      <c r="AC140" s="0" t="n">
        <v>1573937406</v>
      </c>
      <c r="AD140" s="0" t="n">
        <v>1586042061</v>
      </c>
    </row>
    <row r="141" customFormat="false" ht="12.8" hidden="false" customHeight="false" outlineLevel="0" collapsed="false">
      <c r="A141" s="0" t="s">
        <v>414</v>
      </c>
      <c r="C141" s="0" t="s">
        <v>79</v>
      </c>
      <c r="E141" s="0" t="s">
        <v>154</v>
      </c>
      <c r="F141" s="0" t="s">
        <v>69</v>
      </c>
      <c r="H141" s="0" t="n">
        <v>1610</v>
      </c>
      <c r="I141" s="0" t="s">
        <v>415</v>
      </c>
      <c r="J141" s="0" t="s">
        <v>36</v>
      </c>
      <c r="K141" s="0" t="s">
        <v>36</v>
      </c>
      <c r="L141" s="0" t="s">
        <v>36</v>
      </c>
      <c r="P141" s="0" t="s">
        <v>414</v>
      </c>
      <c r="R141" s="0" t="s">
        <v>51</v>
      </c>
      <c r="S141" s="0" t="s">
        <v>49</v>
      </c>
      <c r="T141" s="0" t="n">
        <v>1</v>
      </c>
      <c r="U141" s="0" t="s">
        <v>411</v>
      </c>
      <c r="V141" s="0" t="s">
        <v>411</v>
      </c>
      <c r="Z141" s="0" t="str">
        <f aca="false">HYPERLINK("http://lutemusic.org/composers/Anon/songs/go_from_my_window/go_from_my_window.ft3")</f>
        <v>http://lutemusic.org/composers/Anon/songs/go_from_my_window/go_from_my_window.ft3</v>
      </c>
      <c r="AA141" s="0" t="str">
        <f aca="false">HYPERLINK("http://lutemusic.org/composers/Anon/songs/go_from_my_window/pdf/go_from_my_window.pdf")</f>
        <v>http://lutemusic.org/composers/Anon/songs/go_from_my_window/pdf/go_from_my_window.pdf</v>
      </c>
      <c r="AB141" s="0" t="str">
        <f aca="false">HYPERLINK("http://lutemusic.org/composers/Anon/songs/go_from_my_window/midi/go_from_my_window.mid")</f>
        <v>http://lutemusic.org/composers/Anon/songs/go_from_my_window/midi/go_from_my_window.mid</v>
      </c>
      <c r="AC141" s="0" t="n">
        <v>1573937406</v>
      </c>
      <c r="AD141" s="0" t="n">
        <v>1586042061</v>
      </c>
    </row>
    <row r="142" customFormat="false" ht="12.8" hidden="false" customHeight="false" outlineLevel="0" collapsed="false">
      <c r="A142" s="0" t="s">
        <v>414</v>
      </c>
      <c r="C142" s="0" t="s">
        <v>79</v>
      </c>
      <c r="E142" s="0" t="s">
        <v>154</v>
      </c>
      <c r="F142" s="0" t="s">
        <v>69</v>
      </c>
      <c r="H142" s="0" t="n">
        <v>1610</v>
      </c>
      <c r="I142" s="0" t="s">
        <v>415</v>
      </c>
      <c r="J142" s="0" t="s">
        <v>36</v>
      </c>
      <c r="K142" s="0" t="s">
        <v>36</v>
      </c>
      <c r="L142" s="0" t="s">
        <v>36</v>
      </c>
      <c r="P142" s="0" t="s">
        <v>414</v>
      </c>
      <c r="R142" s="0" t="s">
        <v>51</v>
      </c>
      <c r="S142" s="0" t="s">
        <v>49</v>
      </c>
      <c r="T142" s="0" t="n">
        <v>1</v>
      </c>
      <c r="U142" s="0" t="s">
        <v>411</v>
      </c>
      <c r="V142" s="0" t="s">
        <v>63</v>
      </c>
      <c r="Z142" s="0" t="str">
        <f aca="false">HYPERLINK("http://lutemusic.org/composers/Anon/songs/go_from_my_window/go_from_my_window_T.ft3")</f>
        <v>http://lutemusic.org/composers/Anon/songs/go_from_my_window/go_from_my_window_T.ft3</v>
      </c>
      <c r="AA142" s="0" t="str">
        <f aca="false">HYPERLINK("http://lutemusic.org/composers/Anon/songs/go_from_my_window/pdf/go_from_my_window_T.pdf")</f>
        <v>http://lutemusic.org/composers/Anon/songs/go_from_my_window/pdf/go_from_my_window_T.pdf</v>
      </c>
      <c r="AB142" s="0" t="str">
        <f aca="false">HYPERLINK("http://lutemusic.org/composers/Anon/songs/go_from_my_window/midi/go_from_my_window_T.mid")</f>
        <v>http://lutemusic.org/composers/Anon/songs/go_from_my_window/midi/go_from_my_window_T.mid</v>
      </c>
      <c r="AC142" s="0" t="n">
        <v>1573937406</v>
      </c>
      <c r="AD142" s="0" t="n">
        <v>1586042061</v>
      </c>
    </row>
    <row r="143" customFormat="false" ht="12.8" hidden="false" customHeight="false" outlineLevel="0" collapsed="false">
      <c r="A143" s="0" t="s">
        <v>416</v>
      </c>
      <c r="B143" s="0" t="s">
        <v>417</v>
      </c>
      <c r="C143" s="0" t="s">
        <v>79</v>
      </c>
      <c r="E143" s="0" t="s">
        <v>418</v>
      </c>
      <c r="F143" s="0" t="s">
        <v>419</v>
      </c>
      <c r="H143" s="0" t="n">
        <v>1610</v>
      </c>
      <c r="I143" s="0" t="s">
        <v>420</v>
      </c>
      <c r="J143" s="0" t="s">
        <v>36</v>
      </c>
      <c r="K143" s="0" t="s">
        <v>36</v>
      </c>
      <c r="P143" s="0" t="s">
        <v>416</v>
      </c>
      <c r="R143" s="0" t="s">
        <v>372</v>
      </c>
      <c r="S143" s="0" t="s">
        <v>84</v>
      </c>
      <c r="T143" s="0" t="n">
        <v>2</v>
      </c>
      <c r="U143" s="0" t="s">
        <v>421</v>
      </c>
      <c r="V143" s="0" t="s">
        <v>422</v>
      </c>
      <c r="Y143" s="0" t="str">
        <f aca="false">HYPERLINK("http://lutemusic.org/facsimiles/DowlandR/A_Musicall_Banquet_1610/c2v.png")</f>
        <v>http://lutemusic.org/facsimiles/DowlandR/A_Musicall_Banquet_1610/c2v.png</v>
      </c>
      <c r="Z143" s="0" t="str">
        <f aca="false">HYPERLINK("http://lutemusic.org/composers/Anon/songs/go_my_flock/go_my_flock.ft3")</f>
        <v>http://lutemusic.org/composers/Anon/songs/go_my_flock/go_my_flock.ft3</v>
      </c>
      <c r="AA143" s="0" t="str">
        <f aca="false">HYPERLINK("http://lutemusic.org/composers/Anon/songs/go_my_flock/pdf/go_my_flock.pdf")</f>
        <v>http://lutemusic.org/composers/Anon/songs/go_my_flock/pdf/go_my_flock.pdf</v>
      </c>
      <c r="AB143" s="0" t="str">
        <f aca="false">HYPERLINK("http://lutemusic.org/composers/Anon/songs/go_my_flock/midi/go_my_flock.mid")</f>
        <v>http://lutemusic.org/composers/Anon/songs/go_my_flock/midi/go_my_flock.mid</v>
      </c>
      <c r="AC143" s="0" t="n">
        <v>1573937406</v>
      </c>
      <c r="AD143" s="0" t="n">
        <v>1588451611</v>
      </c>
    </row>
    <row r="144" customFormat="false" ht="12.8" hidden="false" customHeight="false" outlineLevel="0" collapsed="false">
      <c r="A144" s="0" t="s">
        <v>416</v>
      </c>
      <c r="B144" s="0" t="s">
        <v>417</v>
      </c>
      <c r="C144" s="0" t="s">
        <v>79</v>
      </c>
      <c r="E144" s="0" t="s">
        <v>418</v>
      </c>
      <c r="F144" s="0" t="s">
        <v>419</v>
      </c>
      <c r="H144" s="0" t="n">
        <v>1610</v>
      </c>
      <c r="I144" s="0" t="s">
        <v>420</v>
      </c>
      <c r="J144" s="0" t="s">
        <v>36</v>
      </c>
      <c r="K144" s="0" t="s">
        <v>36</v>
      </c>
      <c r="P144" s="0" t="s">
        <v>416</v>
      </c>
      <c r="R144" s="0" t="s">
        <v>372</v>
      </c>
      <c r="S144" s="0" t="s">
        <v>84</v>
      </c>
      <c r="T144" s="0" t="n">
        <v>2</v>
      </c>
      <c r="U144" s="0" t="s">
        <v>421</v>
      </c>
      <c r="V144" s="0" t="s">
        <v>423</v>
      </c>
      <c r="Y144" s="0" t="str">
        <f aca="false">HYPERLINK("http://lutemusic.org/facsimiles/DowlandR/A_Musicall_Banquet_1610/c2v.png")</f>
        <v>http://lutemusic.org/facsimiles/DowlandR/A_Musicall_Banquet_1610/c2v.png</v>
      </c>
      <c r="Z144" s="0" t="str">
        <f aca="false">HYPERLINK("http://lutemusic.org/composers/Anon/songs/go_my_flock/go_my_flock_B.ft3")</f>
        <v>http://lutemusic.org/composers/Anon/songs/go_my_flock/go_my_flock_B.ft3</v>
      </c>
      <c r="AA144" s="0" t="str">
        <f aca="false">HYPERLINK("http://lutemusic.org/composers/Anon/songs/go_my_flock/pdf/go_my_flock_B.pdf")</f>
        <v>http://lutemusic.org/composers/Anon/songs/go_my_flock/pdf/go_my_flock_B.pdf</v>
      </c>
      <c r="AB144" s="0" t="str">
        <f aca="false">HYPERLINK("http://lutemusic.org/composers/Anon/songs/go_my_flock/midi/go_my_flock_B.mid")</f>
        <v>http://lutemusic.org/composers/Anon/songs/go_my_flock/midi/go_my_flock_B.mid</v>
      </c>
      <c r="AC144" s="0" t="n">
        <v>1573937406</v>
      </c>
      <c r="AD144" s="0" t="n">
        <v>1588451611</v>
      </c>
    </row>
    <row r="145" customFormat="false" ht="12.8" hidden="false" customHeight="false" outlineLevel="0" collapsed="false">
      <c r="A145" s="0" t="s">
        <v>416</v>
      </c>
      <c r="B145" s="0" t="s">
        <v>417</v>
      </c>
      <c r="C145" s="0" t="s">
        <v>79</v>
      </c>
      <c r="E145" s="0" t="s">
        <v>418</v>
      </c>
      <c r="F145" s="0" t="s">
        <v>419</v>
      </c>
      <c r="H145" s="0" t="n">
        <v>1610</v>
      </c>
      <c r="I145" s="0" t="s">
        <v>420</v>
      </c>
      <c r="J145" s="0" t="s">
        <v>36</v>
      </c>
      <c r="K145" s="0" t="s">
        <v>36</v>
      </c>
      <c r="P145" s="0" t="s">
        <v>416</v>
      </c>
      <c r="R145" s="0" t="s">
        <v>372</v>
      </c>
      <c r="S145" s="0" t="s">
        <v>84</v>
      </c>
      <c r="T145" s="0" t="n">
        <v>2</v>
      </c>
      <c r="U145" s="0" t="s">
        <v>421</v>
      </c>
      <c r="V145" s="0" t="s">
        <v>421</v>
      </c>
      <c r="Y145" s="0" t="str">
        <f aca="false">HYPERLINK("http://lutemusic.org/facsimiles/DowlandR/A_Musicall_Banquet_1610/c2v.png")</f>
        <v>http://lutemusic.org/facsimiles/DowlandR/A_Musicall_Banquet_1610/c2v.png</v>
      </c>
      <c r="Z145" s="0" t="str">
        <f aca="false">HYPERLINK("http://lutemusic.org/composers/Anon/songs/go_my_flock/go_my_flock_S.ft3")</f>
        <v>http://lutemusic.org/composers/Anon/songs/go_my_flock/go_my_flock_S.ft3</v>
      </c>
      <c r="AA145" s="0" t="str">
        <f aca="false">HYPERLINK("http://lutemusic.org/composers/Anon/songs/go_my_flock/pdf/go_my_flock_S.pdf")</f>
        <v>http://lutemusic.org/composers/Anon/songs/go_my_flock/pdf/go_my_flock_S.pdf</v>
      </c>
      <c r="AB145" s="0" t="str">
        <f aca="false">HYPERLINK("http://lutemusic.org/composers/Anon/songs/go_my_flock/midi/go_my_flock_S.mid")</f>
        <v>http://lutemusic.org/composers/Anon/songs/go_my_flock/midi/go_my_flock_S.mid</v>
      </c>
      <c r="AC145" s="0" t="n">
        <v>1573937406</v>
      </c>
      <c r="AD145" s="0" t="n">
        <v>1588451611</v>
      </c>
    </row>
    <row r="146" customFormat="false" ht="12.8" hidden="false" customHeight="false" outlineLevel="0" collapsed="false">
      <c r="A146" s="0" t="s">
        <v>416</v>
      </c>
      <c r="B146" s="0" t="s">
        <v>417</v>
      </c>
      <c r="C146" s="0" t="s">
        <v>79</v>
      </c>
      <c r="E146" s="0" t="s">
        <v>418</v>
      </c>
      <c r="F146" s="0" t="s">
        <v>419</v>
      </c>
      <c r="H146" s="0" t="n">
        <v>1610</v>
      </c>
      <c r="I146" s="0" t="s">
        <v>420</v>
      </c>
      <c r="J146" s="0" t="s">
        <v>36</v>
      </c>
      <c r="K146" s="0" t="s">
        <v>36</v>
      </c>
      <c r="P146" s="0" t="s">
        <v>416</v>
      </c>
      <c r="R146" s="0" t="s">
        <v>372</v>
      </c>
      <c r="S146" s="0" t="s">
        <v>84</v>
      </c>
      <c r="T146" s="0" t="n">
        <v>2</v>
      </c>
      <c r="U146" s="0" t="s">
        <v>421</v>
      </c>
      <c r="V146" s="0" t="s">
        <v>63</v>
      </c>
      <c r="Y146" s="0" t="str">
        <f aca="false">HYPERLINK("http://lutemusic.org/facsimiles/DowlandR/A_Musicall_Banquet_1610/c2v.png")</f>
        <v>http://lutemusic.org/facsimiles/DowlandR/A_Musicall_Banquet_1610/c2v.png</v>
      </c>
      <c r="Z146" s="0" t="str">
        <f aca="false">HYPERLINK("http://lutemusic.org/composers/Anon/songs/go_my_flock/go_my_flock_T.ft3")</f>
        <v>http://lutemusic.org/composers/Anon/songs/go_my_flock/go_my_flock_T.ft3</v>
      </c>
      <c r="AA146" s="0" t="str">
        <f aca="false">HYPERLINK("http://lutemusic.org/composers/Anon/songs/go_my_flock/pdf/go_my_flock_T.pdf")</f>
        <v>http://lutemusic.org/composers/Anon/songs/go_my_flock/pdf/go_my_flock_T.pdf</v>
      </c>
      <c r="AB146" s="0" t="str">
        <f aca="false">HYPERLINK("http://lutemusic.org/composers/Anon/songs/go_my_flock/midi/go_my_flock_T.mid")</f>
        <v>http://lutemusic.org/composers/Anon/songs/go_my_flock/midi/go_my_flock_T.mid</v>
      </c>
      <c r="AC146" s="0" t="n">
        <v>1573937406</v>
      </c>
      <c r="AD146" s="0" t="n">
        <v>1588451611</v>
      </c>
    </row>
    <row r="147" customFormat="false" ht="12.8" hidden="false" customHeight="false" outlineLevel="0" collapsed="false">
      <c r="A147" s="0" t="s">
        <v>384</v>
      </c>
      <c r="C147" s="0" t="s">
        <v>79</v>
      </c>
      <c r="E147" s="0" t="s">
        <v>154</v>
      </c>
      <c r="F147" s="0" t="s">
        <v>385</v>
      </c>
      <c r="H147" s="0" t="n">
        <v>1550</v>
      </c>
      <c r="I147" s="0" t="s">
        <v>35</v>
      </c>
      <c r="J147" s="0" t="s">
        <v>36</v>
      </c>
      <c r="K147" s="0" t="s">
        <v>36</v>
      </c>
      <c r="L147" s="0" t="s">
        <v>36</v>
      </c>
      <c r="P147" s="0" t="s">
        <v>384</v>
      </c>
      <c r="R147" s="0" t="s">
        <v>51</v>
      </c>
      <c r="S147" s="0" t="s">
        <v>424</v>
      </c>
      <c r="T147" s="0" t="n">
        <v>3</v>
      </c>
      <c r="U147" s="0" t="s">
        <v>425</v>
      </c>
      <c r="V147" s="0" t="s">
        <v>40</v>
      </c>
      <c r="Z147" s="0" t="str">
        <f aca="false">HYPERLINK("http://lutemusic.org/composers/Anon/songs/greensleeves/greensleeves_Em.ft3")</f>
        <v>http://lutemusic.org/composers/Anon/songs/greensleeves/greensleeves_Em.ft3</v>
      </c>
      <c r="AA147" s="0" t="str">
        <f aca="false">HYPERLINK("http://lutemusic.org/composers/Anon/songs/greensleeves/pdf/greensleeves_Em.pdf")</f>
        <v>http://lutemusic.org/composers/Anon/songs/greensleeves/pdf/greensleeves_Em.pdf</v>
      </c>
      <c r="AB147" s="0" t="str">
        <f aca="false">HYPERLINK("http://lutemusic.org/composers/Anon/songs/greensleeves/midi/greensleeves_Em.mid")</f>
        <v>http://lutemusic.org/composers/Anon/songs/greensleeves/midi/greensleeves_Em.mid</v>
      </c>
      <c r="AC147" s="0" t="n">
        <v>1573937406</v>
      </c>
      <c r="AD147" s="0" t="n">
        <v>1586042061</v>
      </c>
    </row>
    <row r="148" customFormat="false" ht="12.8" hidden="false" customHeight="false" outlineLevel="0" collapsed="false">
      <c r="A148" s="0" t="s">
        <v>384</v>
      </c>
      <c r="C148" s="0" t="s">
        <v>79</v>
      </c>
      <c r="E148" s="0" t="s">
        <v>154</v>
      </c>
      <c r="F148" s="0" t="s">
        <v>385</v>
      </c>
      <c r="H148" s="0" t="n">
        <v>1550</v>
      </c>
      <c r="I148" s="0" t="s">
        <v>262</v>
      </c>
      <c r="J148" s="0" t="s">
        <v>36</v>
      </c>
      <c r="K148" s="0" t="s">
        <v>36</v>
      </c>
      <c r="L148" s="0" t="s">
        <v>36</v>
      </c>
      <c r="P148" s="0" t="s">
        <v>384</v>
      </c>
      <c r="R148" s="0" t="s">
        <v>51</v>
      </c>
      <c r="S148" s="0" t="s">
        <v>424</v>
      </c>
      <c r="T148" s="0" t="n">
        <v>3</v>
      </c>
      <c r="U148" s="0" t="s">
        <v>425</v>
      </c>
      <c r="V148" s="0" t="s">
        <v>143</v>
      </c>
      <c r="Z148" s="0" t="str">
        <f aca="false">HYPERLINK("http://lutemusic.org/composers/Anon/songs/greensleeves/greensleeves_Em_T.ft3")</f>
        <v>http://lutemusic.org/composers/Anon/songs/greensleeves/greensleeves_Em_T.ft3</v>
      </c>
      <c r="AA148" s="0" t="str">
        <f aca="false">HYPERLINK("http://lutemusic.org/composers/Anon/songs/greensleeves/pdf/greensleeves_Em_T.pdf")</f>
        <v>http://lutemusic.org/composers/Anon/songs/greensleeves/pdf/greensleeves_Em_T.pdf</v>
      </c>
      <c r="AB148" s="0" t="str">
        <f aca="false">HYPERLINK("http://lutemusic.org/composers/Anon/songs/greensleeves/midi/greensleeves_Em_T.mid")</f>
        <v>http://lutemusic.org/composers/Anon/songs/greensleeves/midi/greensleeves_Em_T.mid</v>
      </c>
      <c r="AC148" s="0" t="n">
        <v>1573937406</v>
      </c>
      <c r="AD148" s="0" t="n">
        <v>1586042061</v>
      </c>
    </row>
    <row r="149" customFormat="false" ht="12.8" hidden="false" customHeight="false" outlineLevel="0" collapsed="false">
      <c r="A149" s="0" t="s">
        <v>426</v>
      </c>
      <c r="B149" s="0" t="s">
        <v>427</v>
      </c>
      <c r="C149" s="0" t="s">
        <v>79</v>
      </c>
      <c r="E149" s="0" t="s">
        <v>428</v>
      </c>
      <c r="F149" s="0" t="s">
        <v>429</v>
      </c>
      <c r="H149" s="0" t="n">
        <v>1642</v>
      </c>
      <c r="J149" s="0" t="s">
        <v>36</v>
      </c>
      <c r="K149" s="0" t="s">
        <v>36</v>
      </c>
      <c r="L149" s="0" t="s">
        <v>36</v>
      </c>
      <c r="P149" s="0" t="s">
        <v>426</v>
      </c>
      <c r="R149" s="0" t="s">
        <v>51</v>
      </c>
      <c r="S149" s="0" t="s">
        <v>424</v>
      </c>
      <c r="T149" s="0" t="n">
        <v>3</v>
      </c>
      <c r="U149" s="0" t="s">
        <v>425</v>
      </c>
      <c r="V149" s="0" t="s">
        <v>40</v>
      </c>
      <c r="Z149" s="0" t="str">
        <f aca="false">HYPERLINK("http://lutemusic.org/composers/Anon/songs/greensleeves/greensleeves_year_end_Em.ft3")</f>
        <v>http://lutemusic.org/composers/Anon/songs/greensleeves/greensleeves_year_end_Em.ft3</v>
      </c>
      <c r="AA149" s="0" t="str">
        <f aca="false">HYPERLINK("http://lutemusic.org/composers/Anon/songs/greensleeves/pdf/greensleeves_year_end_Em.pdf")</f>
        <v>http://lutemusic.org/composers/Anon/songs/greensleeves/pdf/greensleeves_year_end_Em.pdf</v>
      </c>
      <c r="AB149" s="0" t="str">
        <f aca="false">HYPERLINK("http://lutemusic.org/composers/Anon/songs/greensleeves/midi/greensleeves_year_end_Em.mid")</f>
        <v>http://lutemusic.org/composers/Anon/songs/greensleeves/midi/greensleeves_year_end_Em.mid</v>
      </c>
      <c r="AC149" s="0" t="n">
        <v>1573937406</v>
      </c>
      <c r="AD149" s="0" t="n">
        <v>1586042061</v>
      </c>
    </row>
    <row r="150" customFormat="false" ht="12.8" hidden="false" customHeight="false" outlineLevel="0" collapsed="false">
      <c r="A150" s="0" t="s">
        <v>426</v>
      </c>
      <c r="B150" s="0" t="s">
        <v>427</v>
      </c>
      <c r="C150" s="0" t="s">
        <v>79</v>
      </c>
      <c r="E150" s="0" t="s">
        <v>428</v>
      </c>
      <c r="F150" s="0" t="s">
        <v>429</v>
      </c>
      <c r="H150" s="0" t="n">
        <v>1642</v>
      </c>
      <c r="J150" s="0" t="s">
        <v>36</v>
      </c>
      <c r="K150" s="0" t="s">
        <v>36</v>
      </c>
      <c r="L150" s="0" t="s">
        <v>36</v>
      </c>
      <c r="P150" s="0" t="s">
        <v>426</v>
      </c>
      <c r="R150" s="0" t="s">
        <v>51</v>
      </c>
      <c r="S150" s="0" t="s">
        <v>424</v>
      </c>
      <c r="T150" s="0" t="n">
        <v>3</v>
      </c>
      <c r="U150" s="0" t="s">
        <v>425</v>
      </c>
      <c r="V150" s="0" t="s">
        <v>143</v>
      </c>
      <c r="Z150" s="0" t="str">
        <f aca="false">HYPERLINK("http://lutemusic.org/composers/Anon/songs/greensleeves/greensleeves_year_end_Em_T.ft3")</f>
        <v>http://lutemusic.org/composers/Anon/songs/greensleeves/greensleeves_year_end_Em_T.ft3</v>
      </c>
      <c r="AA150" s="0" t="str">
        <f aca="false">HYPERLINK("http://lutemusic.org/composers/Anon/songs/greensleeves/pdf/greensleeves_year_end_Em_T.pdf")</f>
        <v>http://lutemusic.org/composers/Anon/songs/greensleeves/pdf/greensleeves_year_end_Em_T.pdf</v>
      </c>
      <c r="AB150" s="0" t="str">
        <f aca="false">HYPERLINK("http://lutemusic.org/composers/Anon/songs/greensleeves/midi/greensleeves_year_end_Em_T.mid")</f>
        <v>http://lutemusic.org/composers/Anon/songs/greensleeves/midi/greensleeves_year_end_Em_T.mid</v>
      </c>
      <c r="AC150" s="0" t="n">
        <v>1573937406</v>
      </c>
      <c r="AD150" s="0" t="n">
        <v>1586042061</v>
      </c>
    </row>
    <row r="151" customFormat="false" ht="12.8" hidden="false" customHeight="false" outlineLevel="0" collapsed="false">
      <c r="A151" s="0" t="s">
        <v>430</v>
      </c>
      <c r="C151" s="0" t="s">
        <v>79</v>
      </c>
      <c r="E151" s="0" t="s">
        <v>428</v>
      </c>
      <c r="F151" s="0" t="s">
        <v>431</v>
      </c>
      <c r="H151" s="0" t="n">
        <v>1436</v>
      </c>
      <c r="I151" s="0" t="s">
        <v>262</v>
      </c>
      <c r="J151" s="0" t="s">
        <v>36</v>
      </c>
      <c r="K151" s="0" t="s">
        <v>432</v>
      </c>
      <c r="L151" s="0" t="s">
        <v>432</v>
      </c>
      <c r="M151" s="0" t="s">
        <v>432</v>
      </c>
      <c r="O151" s="0" t="s">
        <v>432</v>
      </c>
      <c r="P151" s="0" t="s">
        <v>430</v>
      </c>
      <c r="R151" s="0" t="s">
        <v>51</v>
      </c>
      <c r="S151" s="0" t="s">
        <v>152</v>
      </c>
      <c r="T151" s="0" t="n">
        <v>1</v>
      </c>
      <c r="U151" s="0" t="s">
        <v>422</v>
      </c>
      <c r="V151" s="0" t="s">
        <v>40</v>
      </c>
      <c r="Z151" s="0" t="str">
        <f aca="false">HYPERLINK("http://lutemusic.org/composers/Anon/songs/humble_pitie/anon_humble_pitie.ft3")</f>
        <v>http://lutemusic.org/composers/Anon/songs/humble_pitie/anon_humble_pitie.ft3</v>
      </c>
      <c r="AA151" s="0" t="str">
        <f aca="false">HYPERLINK("http://lutemusic.org/composers/Anon/songs/humble_pitie/pdf/anon_humble_pitie.pdf")</f>
        <v>http://lutemusic.org/composers/Anon/songs/humble_pitie/pdf/anon_humble_pitie.pdf</v>
      </c>
      <c r="AB151" s="0" t="str">
        <f aca="false">HYPERLINK("http://lutemusic.org/composers/Anon/songs/humble_pitie/midi/anon_humble_pitie.mid")</f>
        <v>http://lutemusic.org/composers/Anon/songs/humble_pitie/midi/anon_humble_pitie.mid</v>
      </c>
      <c r="AC151" s="0" t="n">
        <v>1573937406</v>
      </c>
      <c r="AD151" s="0" t="n">
        <v>1586042061</v>
      </c>
    </row>
    <row r="152" customFormat="false" ht="12.8" hidden="false" customHeight="false" outlineLevel="0" collapsed="false">
      <c r="A152" s="0" t="s">
        <v>430</v>
      </c>
      <c r="C152" s="0" t="s">
        <v>79</v>
      </c>
      <c r="E152" s="0" t="s">
        <v>428</v>
      </c>
      <c r="F152" s="0" t="s">
        <v>431</v>
      </c>
      <c r="H152" s="0" t="n">
        <v>1436</v>
      </c>
      <c r="I152" s="0" t="s">
        <v>262</v>
      </c>
      <c r="J152" s="0" t="s">
        <v>36</v>
      </c>
      <c r="K152" s="0" t="s">
        <v>432</v>
      </c>
      <c r="L152" s="0" t="s">
        <v>432</v>
      </c>
      <c r="M152" s="0" t="s">
        <v>432</v>
      </c>
      <c r="O152" s="0" t="s">
        <v>432</v>
      </c>
      <c r="P152" s="0" t="s">
        <v>430</v>
      </c>
      <c r="R152" s="0" t="s">
        <v>51</v>
      </c>
      <c r="S152" s="0" t="s">
        <v>152</v>
      </c>
      <c r="T152" s="0" t="n">
        <v>1</v>
      </c>
      <c r="U152" s="0" t="s">
        <v>422</v>
      </c>
      <c r="V152" s="0" t="s">
        <v>63</v>
      </c>
      <c r="Z152" s="0" t="str">
        <f aca="false">HYPERLINK("http://lutemusic.org/composers/Anon/songs/humble_pitie/anon_humble_pitie_T.ft3")</f>
        <v>http://lutemusic.org/composers/Anon/songs/humble_pitie/anon_humble_pitie_T.ft3</v>
      </c>
      <c r="AA152" s="0" t="str">
        <f aca="false">HYPERLINK("http://lutemusic.org/composers/Anon/songs/humble_pitie/pdf/anon_humble_pitie_T.pdf")</f>
        <v>http://lutemusic.org/composers/Anon/songs/humble_pitie/pdf/anon_humble_pitie_T.pdf</v>
      </c>
      <c r="AB152" s="0" t="str">
        <f aca="false">HYPERLINK("http://lutemusic.org/composers/Anon/songs/humble_pitie/midi/anon_humble_pitie_T.mid")</f>
        <v>http://lutemusic.org/composers/Anon/songs/humble_pitie/midi/anon_humble_pitie_T.mid</v>
      </c>
      <c r="AC152" s="0" t="n">
        <v>1573937406</v>
      </c>
      <c r="AD152" s="0" t="n">
        <v>1586042061</v>
      </c>
    </row>
    <row r="153" customFormat="false" ht="12.8" hidden="false" customHeight="false" outlineLevel="0" collapsed="false">
      <c r="A153" s="0" t="s">
        <v>433</v>
      </c>
      <c r="C153" s="0" t="s">
        <v>79</v>
      </c>
      <c r="E153" s="0" t="s">
        <v>402</v>
      </c>
      <c r="F153" s="0" t="s">
        <v>403</v>
      </c>
      <c r="H153" s="0" t="n">
        <v>1584</v>
      </c>
      <c r="I153" s="0" t="s">
        <v>434</v>
      </c>
      <c r="J153" s="0" t="s">
        <v>36</v>
      </c>
      <c r="K153" s="0" t="s">
        <v>405</v>
      </c>
      <c r="P153" s="0" t="s">
        <v>433</v>
      </c>
      <c r="R153" s="0" t="s">
        <v>406</v>
      </c>
      <c r="S153" s="0" t="s">
        <v>49</v>
      </c>
      <c r="T153" s="0" t="n">
        <v>2</v>
      </c>
      <c r="U153" s="0" t="s">
        <v>435</v>
      </c>
      <c r="V153" s="0" t="s">
        <v>40</v>
      </c>
      <c r="Y153" s="0" t="str">
        <f aca="false">HYPERLINK("http://lutemusic.org/facsimiles/AdriaenssenE/Pratum_Musicum_1584/61.png")</f>
        <v>http://lutemusic.org/facsimiles/AdriaenssenE/Pratum_Musicum_1584/61.png</v>
      </c>
      <c r="Z153" s="0" t="str">
        <f aca="false">HYPERLINK("http://lutemusic.org/composers/Anon/songs/j_ai_veu_le_cerf/59_j_ai_veu_le_cerf.ft3")</f>
        <v>http://lutemusic.org/composers/Anon/songs/j_ai_veu_le_cerf/59_j_ai_veu_le_cerf.ft3</v>
      </c>
      <c r="AA153" s="0" t="str">
        <f aca="false">HYPERLINK("http://lutemusic.org/composers/Anon/songs/j_ai_veu_le_cerf/pdf/59_j_ai_veu_le_cerf.pdf")</f>
        <v>http://lutemusic.org/composers/Anon/songs/j_ai_veu_le_cerf/pdf/59_j_ai_veu_le_cerf.pdf</v>
      </c>
      <c r="AB153" s="0" t="str">
        <f aca="false">HYPERLINK("http://lutemusic.org/composers/Anon/songs/j_ai_veu_le_cerf/midi/59_j_ai_veu_le_cerf.mid")</f>
        <v>http://lutemusic.org/composers/Anon/songs/j_ai_veu_le_cerf/midi/59_j_ai_veu_le_cerf.mid</v>
      </c>
      <c r="AC153" s="0" t="n">
        <v>1573937406</v>
      </c>
      <c r="AD153" s="0" t="n">
        <v>1586042061</v>
      </c>
    </row>
    <row r="154" customFormat="false" ht="12.8" hidden="false" customHeight="false" outlineLevel="0" collapsed="false">
      <c r="A154" s="0" t="s">
        <v>433</v>
      </c>
      <c r="C154" s="0" t="s">
        <v>79</v>
      </c>
      <c r="E154" s="0" t="s">
        <v>402</v>
      </c>
      <c r="F154" s="0" t="s">
        <v>403</v>
      </c>
      <c r="H154" s="0" t="n">
        <v>1584</v>
      </c>
      <c r="I154" s="0" t="s">
        <v>434</v>
      </c>
      <c r="J154" s="0" t="s">
        <v>36</v>
      </c>
      <c r="K154" s="0" t="s">
        <v>405</v>
      </c>
      <c r="P154" s="0" t="s">
        <v>433</v>
      </c>
      <c r="R154" s="0" t="s">
        <v>406</v>
      </c>
      <c r="S154" s="0" t="s">
        <v>49</v>
      </c>
      <c r="T154" s="0" t="n">
        <v>2</v>
      </c>
      <c r="U154" s="0" t="s">
        <v>435</v>
      </c>
      <c r="V154" s="0" t="s">
        <v>53</v>
      </c>
      <c r="Y154" s="0" t="str">
        <f aca="false">HYPERLINK("http://lutemusic.org/facsimiles/AdriaenssenE/Pratum_Musicum_1584/61.png")</f>
        <v>http://lutemusic.org/facsimiles/AdriaenssenE/Pratum_Musicum_1584/61.png</v>
      </c>
      <c r="Z154" s="0" t="str">
        <f aca="false">HYPERLINK("http://lutemusic.org/composers/Anon/songs/j_ai_veu_le_cerf/59_j_ai_veu_le_cerf_T.ft3")</f>
        <v>http://lutemusic.org/composers/Anon/songs/j_ai_veu_le_cerf/59_j_ai_veu_le_cerf_T.ft3</v>
      </c>
      <c r="AA154" s="0" t="str">
        <f aca="false">HYPERLINK("http://lutemusic.org/composers/Anon/songs/j_ai_veu_le_cerf/pdf/59_j_ai_veu_le_cerf_T.pdf")</f>
        <v>http://lutemusic.org/composers/Anon/songs/j_ai_veu_le_cerf/pdf/59_j_ai_veu_le_cerf_T.pdf</v>
      </c>
      <c r="AB154" s="0" t="str">
        <f aca="false">HYPERLINK("http://lutemusic.org/composers/Anon/songs/j_ai_veu_le_cerf/midi/59_j_ai_veu_le_cerf_T.mid")</f>
        <v>http://lutemusic.org/composers/Anon/songs/j_ai_veu_le_cerf/midi/59_j_ai_veu_le_cerf_T.mid</v>
      </c>
      <c r="AC154" s="0" t="n">
        <v>1573937406</v>
      </c>
      <c r="AD154" s="0" t="n">
        <v>1586042061</v>
      </c>
    </row>
    <row r="155" customFormat="false" ht="12.8" hidden="false" customHeight="false" outlineLevel="0" collapsed="false">
      <c r="A155" s="0" t="s">
        <v>436</v>
      </c>
      <c r="C155" s="0" t="s">
        <v>79</v>
      </c>
      <c r="E155" s="0" t="s">
        <v>437</v>
      </c>
      <c r="F155" s="0" t="s">
        <v>438</v>
      </c>
      <c r="H155" s="0" t="n">
        <v>1613</v>
      </c>
      <c r="I155" s="0" t="s">
        <v>439</v>
      </c>
      <c r="J155" s="0" t="s">
        <v>36</v>
      </c>
      <c r="K155" s="0" t="s">
        <v>36</v>
      </c>
      <c r="L155" s="0" t="s">
        <v>36</v>
      </c>
      <c r="O155" s="0" t="s">
        <v>440</v>
      </c>
      <c r="P155" s="0" t="s">
        <v>436</v>
      </c>
      <c r="R155" s="0" t="s">
        <v>51</v>
      </c>
      <c r="S155" s="0" t="s">
        <v>62</v>
      </c>
      <c r="T155" s="0" t="n">
        <v>3</v>
      </c>
      <c r="U155" s="0" t="s">
        <v>441</v>
      </c>
      <c r="V155" s="0" t="s">
        <v>425</v>
      </c>
      <c r="Z155" s="0" t="str">
        <f aca="false">HYPERLINK("http://lutemusic.org/composers/Anon/songs/miserere_my_maker/miserere_my_maker_Dm.ft3")</f>
        <v>http://lutemusic.org/composers/Anon/songs/miserere_my_maker/miserere_my_maker_Dm.ft3</v>
      </c>
      <c r="AA155" s="0" t="str">
        <f aca="false">HYPERLINK("http://lutemusic.org/composers/Anon/songs/miserere_my_maker/pdf/miserere_my_maker_Dm.pdf")</f>
        <v>http://lutemusic.org/composers/Anon/songs/miserere_my_maker/pdf/miserere_my_maker_Dm.pdf</v>
      </c>
      <c r="AB155" s="0" t="str">
        <f aca="false">HYPERLINK("http://lutemusic.org/composers/Anon/songs/miserere_my_maker/midi/miserere_my_maker_Dm.mid")</f>
        <v>http://lutemusic.org/composers/Anon/songs/miserere_my_maker/midi/miserere_my_maker_Dm.mid</v>
      </c>
      <c r="AC155" s="0" t="n">
        <v>1573937406</v>
      </c>
      <c r="AD155" s="0" t="n">
        <v>1586042061</v>
      </c>
    </row>
    <row r="156" customFormat="false" ht="12.8" hidden="false" customHeight="false" outlineLevel="0" collapsed="false">
      <c r="A156" s="0" t="s">
        <v>436</v>
      </c>
      <c r="C156" s="0" t="s">
        <v>79</v>
      </c>
      <c r="E156" s="0" t="s">
        <v>437</v>
      </c>
      <c r="F156" s="0" t="s">
        <v>438</v>
      </c>
      <c r="H156" s="0" t="n">
        <v>1613</v>
      </c>
      <c r="I156" s="0" t="s">
        <v>439</v>
      </c>
      <c r="J156" s="0" t="s">
        <v>36</v>
      </c>
      <c r="K156" s="0" t="s">
        <v>36</v>
      </c>
      <c r="L156" s="0" t="s">
        <v>36</v>
      </c>
      <c r="O156" s="0" t="s">
        <v>440</v>
      </c>
      <c r="P156" s="0" t="s">
        <v>436</v>
      </c>
      <c r="R156" s="0" t="s">
        <v>51</v>
      </c>
      <c r="S156" s="0" t="s">
        <v>62</v>
      </c>
      <c r="T156" s="0" t="n">
        <v>3</v>
      </c>
      <c r="U156" s="0" t="s">
        <v>441</v>
      </c>
      <c r="V156" s="0" t="s">
        <v>40</v>
      </c>
      <c r="Z156" s="0" t="str">
        <f aca="false">HYPERLINK("http://lutemusic.org/composers/Anon/songs/miserere_my_maker/miserere_my_maker_Dm_S.ft3")</f>
        <v>http://lutemusic.org/composers/Anon/songs/miserere_my_maker/miserere_my_maker_Dm_S.ft3</v>
      </c>
      <c r="AA156" s="0" t="str">
        <f aca="false">HYPERLINK("http://lutemusic.org/composers/Anon/songs/miserere_my_maker/pdf/miserere_my_maker_Dm_S.pdf")</f>
        <v>http://lutemusic.org/composers/Anon/songs/miserere_my_maker/pdf/miserere_my_maker_Dm_S.pdf</v>
      </c>
      <c r="AB156" s="0" t="str">
        <f aca="false">HYPERLINK("http://lutemusic.org/composers/Anon/songs/miserere_my_maker/midi/miserere_my_maker_Dm_S.mid")</f>
        <v>http://lutemusic.org/composers/Anon/songs/miserere_my_maker/midi/miserere_my_maker_Dm_S.mid</v>
      </c>
      <c r="AC156" s="0" t="n">
        <v>1573937406</v>
      </c>
      <c r="AD156" s="0" t="n">
        <v>1586042061</v>
      </c>
    </row>
    <row r="157" customFormat="false" ht="12.8" hidden="false" customHeight="false" outlineLevel="0" collapsed="false">
      <c r="A157" s="0" t="s">
        <v>436</v>
      </c>
      <c r="C157" s="0" t="s">
        <v>79</v>
      </c>
      <c r="E157" s="0" t="s">
        <v>437</v>
      </c>
      <c r="F157" s="0" t="s">
        <v>438</v>
      </c>
      <c r="H157" s="0" t="n">
        <v>1613</v>
      </c>
      <c r="I157" s="0" t="s">
        <v>439</v>
      </c>
      <c r="J157" s="0" t="s">
        <v>36</v>
      </c>
      <c r="K157" s="0" t="s">
        <v>36</v>
      </c>
      <c r="L157" s="0" t="s">
        <v>36</v>
      </c>
      <c r="O157" s="0" t="s">
        <v>440</v>
      </c>
      <c r="P157" s="0" t="s">
        <v>436</v>
      </c>
      <c r="R157" s="0" t="s">
        <v>51</v>
      </c>
      <c r="S157" s="0" t="s">
        <v>62</v>
      </c>
      <c r="T157" s="0" t="n">
        <v>3</v>
      </c>
      <c r="U157" s="0" t="s">
        <v>441</v>
      </c>
      <c r="V157" s="0" t="s">
        <v>143</v>
      </c>
      <c r="Z157" s="0" t="str">
        <f aca="false">HYPERLINK("http://lutemusic.org/composers/Anon/songs/miserere_my_maker/miserere_my_maker_Dm_T.ft3")</f>
        <v>http://lutemusic.org/composers/Anon/songs/miserere_my_maker/miserere_my_maker_Dm_T.ft3</v>
      </c>
      <c r="AA157" s="0" t="str">
        <f aca="false">HYPERLINK("http://lutemusic.org/composers/Anon/songs/miserere_my_maker/pdf/miserere_my_maker_Dm_T.pdf")</f>
        <v>http://lutemusic.org/composers/Anon/songs/miserere_my_maker/pdf/miserere_my_maker_Dm_T.pdf</v>
      </c>
      <c r="AB157" s="0" t="str">
        <f aca="false">HYPERLINK("http://lutemusic.org/composers/Anon/songs/miserere_my_maker/midi/miserere_my_maker_Dm_T.mid")</f>
        <v>http://lutemusic.org/composers/Anon/songs/miserere_my_maker/midi/miserere_my_maker_Dm_T.mid</v>
      </c>
      <c r="AC157" s="0" t="n">
        <v>1573937406</v>
      </c>
      <c r="AD157" s="0" t="n">
        <v>1586042061</v>
      </c>
    </row>
    <row r="158" customFormat="false" ht="12.8" hidden="false" customHeight="false" outlineLevel="0" collapsed="false">
      <c r="A158" s="0" t="s">
        <v>436</v>
      </c>
      <c r="C158" s="0" t="s">
        <v>79</v>
      </c>
      <c r="E158" s="0" t="s">
        <v>437</v>
      </c>
      <c r="F158" s="0" t="s">
        <v>438</v>
      </c>
      <c r="H158" s="0" t="n">
        <v>1613</v>
      </c>
      <c r="I158" s="0" t="s">
        <v>439</v>
      </c>
      <c r="J158" s="0" t="s">
        <v>36</v>
      </c>
      <c r="K158" s="0" t="s">
        <v>36</v>
      </c>
      <c r="L158" s="0" t="s">
        <v>36</v>
      </c>
      <c r="O158" s="0" t="s">
        <v>440</v>
      </c>
      <c r="P158" s="0" t="s">
        <v>436</v>
      </c>
      <c r="R158" s="0" t="s">
        <v>51</v>
      </c>
      <c r="S158" s="0" t="s">
        <v>62</v>
      </c>
      <c r="T158" s="0" t="n">
        <v>3</v>
      </c>
      <c r="U158" s="0" t="s">
        <v>441</v>
      </c>
      <c r="V158" s="0" t="s">
        <v>442</v>
      </c>
      <c r="Z158" s="0" t="str">
        <f aca="false">HYPERLINK("http://lutemusic.org/composers/Anon/songs/miserere_my_maker/miserere_my_maker_Dm_VB.ft3")</f>
        <v>http://lutemusic.org/composers/Anon/songs/miserere_my_maker/miserere_my_maker_Dm_VB.ft3</v>
      </c>
      <c r="AA158" s="0" t="str">
        <f aca="false">HYPERLINK("http://lutemusic.org/composers/Anon/songs/miserere_my_maker/pdf/miserere_my_maker_Dm_VB.pdf")</f>
        <v>http://lutemusic.org/composers/Anon/songs/miserere_my_maker/pdf/miserere_my_maker_Dm_VB.pdf</v>
      </c>
      <c r="AB158" s="0" t="str">
        <f aca="false">HYPERLINK("http://lutemusic.org/composers/Anon/songs/miserere_my_maker/midi/miserere_my_maker_Dm_VB.mid")</f>
        <v>http://lutemusic.org/composers/Anon/songs/miserere_my_maker/midi/miserere_my_maker_Dm_VB.mid</v>
      </c>
      <c r="AC158" s="0" t="n">
        <v>1573937406</v>
      </c>
      <c r="AD158" s="0" t="n">
        <v>1586042061</v>
      </c>
    </row>
    <row r="159" customFormat="false" ht="12.8" hidden="false" customHeight="false" outlineLevel="0" collapsed="false">
      <c r="A159" s="0" t="s">
        <v>443</v>
      </c>
      <c r="B159" s="0" t="s">
        <v>417</v>
      </c>
      <c r="C159" s="0" t="s">
        <v>79</v>
      </c>
      <c r="E159" s="0" t="s">
        <v>418</v>
      </c>
      <c r="F159" s="0" t="s">
        <v>419</v>
      </c>
      <c r="H159" s="0" t="n">
        <v>1610</v>
      </c>
      <c r="I159" s="0" t="s">
        <v>444</v>
      </c>
      <c r="J159" s="0" t="s">
        <v>36</v>
      </c>
      <c r="K159" s="0" t="s">
        <v>36</v>
      </c>
      <c r="L159" s="0" t="s">
        <v>36</v>
      </c>
      <c r="P159" s="0" t="s">
        <v>443</v>
      </c>
      <c r="R159" s="0" t="s">
        <v>51</v>
      </c>
      <c r="S159" s="0" t="s">
        <v>119</v>
      </c>
      <c r="T159" s="0" t="n">
        <v>2</v>
      </c>
      <c r="U159" s="0" t="s">
        <v>445</v>
      </c>
      <c r="V159" s="0" t="s">
        <v>446</v>
      </c>
      <c r="Y159" s="0" t="str">
        <f aca="false">HYPERLINK("http://lutemusic.org/facsimiles/DowlandR/A_Musicall_Banquet_1610/d1v.png")</f>
        <v>http://lutemusic.org/facsimiles/DowlandR/A_Musicall_Banquet_1610/d1v.png</v>
      </c>
      <c r="Z159" s="0" t="str">
        <f aca="false">HYPERLINK("http://lutemusic.org/composers/Anon/songs/o_dear_life/o_dear_life.ft3")</f>
        <v>http://lutemusic.org/composers/Anon/songs/o_dear_life/o_dear_life.ft3</v>
      </c>
      <c r="AA159" s="0" t="str">
        <f aca="false">HYPERLINK("http://lutemusic.org/composers/Anon/songs/o_dear_life/pdf/o_dear_life.pdf")</f>
        <v>http://lutemusic.org/composers/Anon/songs/o_dear_life/pdf/o_dear_life.pdf</v>
      </c>
      <c r="AB159" s="0" t="str">
        <f aca="false">HYPERLINK("http://lutemusic.org/composers/Anon/songs/o_dear_life/midi/o_dear_life.mid")</f>
        <v>http://lutemusic.org/composers/Anon/songs/o_dear_life/midi/o_dear_life.mid</v>
      </c>
      <c r="AC159" s="0" t="n">
        <v>1573937406</v>
      </c>
      <c r="AD159" s="0" t="n">
        <v>1588451611</v>
      </c>
    </row>
    <row r="160" customFormat="false" ht="12.8" hidden="false" customHeight="false" outlineLevel="0" collapsed="false">
      <c r="A160" s="0" t="s">
        <v>443</v>
      </c>
      <c r="B160" s="0" t="s">
        <v>417</v>
      </c>
      <c r="C160" s="0" t="s">
        <v>79</v>
      </c>
      <c r="E160" s="0" t="s">
        <v>418</v>
      </c>
      <c r="F160" s="0" t="s">
        <v>419</v>
      </c>
      <c r="H160" s="0" t="n">
        <v>1610</v>
      </c>
      <c r="I160" s="0" t="s">
        <v>444</v>
      </c>
      <c r="J160" s="0" t="s">
        <v>36</v>
      </c>
      <c r="K160" s="0" t="s">
        <v>36</v>
      </c>
      <c r="L160" s="0" t="s">
        <v>36</v>
      </c>
      <c r="P160" s="0" t="s">
        <v>443</v>
      </c>
      <c r="R160" s="0" t="s">
        <v>51</v>
      </c>
      <c r="S160" s="0" t="s">
        <v>119</v>
      </c>
      <c r="T160" s="0" t="n">
        <v>2</v>
      </c>
      <c r="U160" s="0" t="s">
        <v>445</v>
      </c>
      <c r="V160" s="0" t="s">
        <v>423</v>
      </c>
      <c r="Y160" s="0" t="str">
        <f aca="false">HYPERLINK("http://lutemusic.org/facsimiles/DowlandR/A_Musicall_Banquet_1610/d1v.png")</f>
        <v>http://lutemusic.org/facsimiles/DowlandR/A_Musicall_Banquet_1610/d1v.png</v>
      </c>
      <c r="Z160" s="0" t="str">
        <f aca="false">HYPERLINK("http://lutemusic.org/composers/Anon/songs/o_dear_life/o_dear_life_B.ft3")</f>
        <v>http://lutemusic.org/composers/Anon/songs/o_dear_life/o_dear_life_B.ft3</v>
      </c>
      <c r="AA160" s="0" t="str">
        <f aca="false">HYPERLINK("http://lutemusic.org/composers/Anon/songs/o_dear_life/pdf/o_dear_life_B.pdf")</f>
        <v>http://lutemusic.org/composers/Anon/songs/o_dear_life/pdf/o_dear_life_B.pdf</v>
      </c>
      <c r="AB160" s="0" t="str">
        <f aca="false">HYPERLINK("http://lutemusic.org/composers/Anon/songs/o_dear_life/midi/o_dear_life_B.mid")</f>
        <v>http://lutemusic.org/composers/Anon/songs/o_dear_life/midi/o_dear_life_B.mid</v>
      </c>
      <c r="AC160" s="0" t="n">
        <v>1573937406</v>
      </c>
      <c r="AD160" s="0" t="n">
        <v>1588451611</v>
      </c>
    </row>
    <row r="161" customFormat="false" ht="12.8" hidden="false" customHeight="false" outlineLevel="0" collapsed="false">
      <c r="A161" s="0" t="s">
        <v>443</v>
      </c>
      <c r="B161" s="0" t="s">
        <v>417</v>
      </c>
      <c r="C161" s="0" t="s">
        <v>79</v>
      </c>
      <c r="E161" s="0" t="s">
        <v>418</v>
      </c>
      <c r="F161" s="0" t="s">
        <v>419</v>
      </c>
      <c r="H161" s="0" t="n">
        <v>1610</v>
      </c>
      <c r="I161" s="0" t="s">
        <v>444</v>
      </c>
      <c r="J161" s="0" t="s">
        <v>36</v>
      </c>
      <c r="K161" s="0" t="s">
        <v>36</v>
      </c>
      <c r="L161" s="0" t="s">
        <v>36</v>
      </c>
      <c r="P161" s="0" t="s">
        <v>443</v>
      </c>
      <c r="R161" s="0" t="s">
        <v>51</v>
      </c>
      <c r="S161" s="0" t="s">
        <v>119</v>
      </c>
      <c r="T161" s="0" t="n">
        <v>2</v>
      </c>
      <c r="U161" s="0" t="s">
        <v>445</v>
      </c>
      <c r="V161" s="0" t="s">
        <v>40</v>
      </c>
      <c r="Y161" s="0" t="str">
        <f aca="false">HYPERLINK("http://lutemusic.org/facsimiles/DowlandR/A_Musicall_Banquet_1610/d1v.png")</f>
        <v>http://lutemusic.org/facsimiles/DowlandR/A_Musicall_Banquet_1610/d1v.png</v>
      </c>
      <c r="Z161" s="0" t="str">
        <f aca="false">HYPERLINK("http://lutemusic.org/composers/Anon/songs/o_dear_life/o_dear_life_S.ft3")</f>
        <v>http://lutemusic.org/composers/Anon/songs/o_dear_life/o_dear_life_S.ft3</v>
      </c>
      <c r="AA161" s="0" t="str">
        <f aca="false">HYPERLINK("http://lutemusic.org/composers/Anon/songs/o_dear_life/pdf/o_dear_life_S.pdf")</f>
        <v>http://lutemusic.org/composers/Anon/songs/o_dear_life/pdf/o_dear_life_S.pdf</v>
      </c>
      <c r="AB161" s="0" t="str">
        <f aca="false">HYPERLINK("http://lutemusic.org/composers/Anon/songs/o_dear_life/midi/o_dear_life_S.mid")</f>
        <v>http://lutemusic.org/composers/Anon/songs/o_dear_life/midi/o_dear_life_S.mid</v>
      </c>
      <c r="AC161" s="0" t="n">
        <v>1573937406</v>
      </c>
      <c r="AD161" s="0" t="n">
        <v>1588451611</v>
      </c>
    </row>
    <row r="162" customFormat="false" ht="12.8" hidden="false" customHeight="false" outlineLevel="0" collapsed="false">
      <c r="A162" s="0" t="s">
        <v>443</v>
      </c>
      <c r="B162" s="0" t="s">
        <v>417</v>
      </c>
      <c r="C162" s="0" t="s">
        <v>79</v>
      </c>
      <c r="E162" s="0" t="s">
        <v>418</v>
      </c>
      <c r="F162" s="0" t="s">
        <v>419</v>
      </c>
      <c r="H162" s="0" t="n">
        <v>1610</v>
      </c>
      <c r="I162" s="0" t="s">
        <v>444</v>
      </c>
      <c r="J162" s="0" t="s">
        <v>36</v>
      </c>
      <c r="K162" s="0" t="s">
        <v>36</v>
      </c>
      <c r="L162" s="0" t="s">
        <v>36</v>
      </c>
      <c r="P162" s="0" t="s">
        <v>443</v>
      </c>
      <c r="R162" s="0" t="s">
        <v>51</v>
      </c>
      <c r="S162" s="0" t="s">
        <v>119</v>
      </c>
      <c r="T162" s="0" t="n">
        <v>2</v>
      </c>
      <c r="U162" s="0" t="s">
        <v>445</v>
      </c>
      <c r="V162" s="0" t="s">
        <v>53</v>
      </c>
      <c r="Y162" s="0" t="str">
        <f aca="false">HYPERLINK("http://lutemusic.org/facsimiles/DowlandR/A_Musicall_Banquet_1610/d1v.png")</f>
        <v>http://lutemusic.org/facsimiles/DowlandR/A_Musicall_Banquet_1610/d1v.png</v>
      </c>
      <c r="Z162" s="0" t="str">
        <f aca="false">HYPERLINK("http://lutemusic.org/composers/Anon/songs/o_dear_life/o_dear_life_T.ft3")</f>
        <v>http://lutemusic.org/composers/Anon/songs/o_dear_life/o_dear_life_T.ft3</v>
      </c>
      <c r="AA162" s="0" t="str">
        <f aca="false">HYPERLINK("http://lutemusic.org/composers/Anon/songs/o_dear_life/pdf/o_dear_life_T.pdf")</f>
        <v>http://lutemusic.org/composers/Anon/songs/o_dear_life/pdf/o_dear_life_T.pdf</v>
      </c>
      <c r="AB162" s="0" t="str">
        <f aca="false">HYPERLINK("http://lutemusic.org/composers/Anon/songs/o_dear_life/midi/o_dear_life_T.mid")</f>
        <v>http://lutemusic.org/composers/Anon/songs/o_dear_life/midi/o_dear_life_T.mid</v>
      </c>
      <c r="AC162" s="0" t="n">
        <v>1573937406</v>
      </c>
      <c r="AD162" s="0" t="n">
        <v>1588451611</v>
      </c>
    </row>
    <row r="163" customFormat="false" ht="12.8" hidden="false" customHeight="false" outlineLevel="0" collapsed="false">
      <c r="A163" s="0" t="s">
        <v>447</v>
      </c>
      <c r="C163" s="0" t="s">
        <v>448</v>
      </c>
      <c r="E163" s="0" t="s">
        <v>449</v>
      </c>
      <c r="F163" s="0" t="s">
        <v>450</v>
      </c>
      <c r="H163" s="0" t="n">
        <v>1600</v>
      </c>
      <c r="J163" s="0" t="s">
        <v>36</v>
      </c>
      <c r="K163" s="0" t="s">
        <v>36</v>
      </c>
      <c r="L163" s="0" t="s">
        <v>36</v>
      </c>
      <c r="M163" s="0" t="s">
        <v>36</v>
      </c>
      <c r="P163" s="0" t="s">
        <v>447</v>
      </c>
      <c r="R163" s="0" t="s">
        <v>51</v>
      </c>
      <c r="S163" s="0" t="s">
        <v>38</v>
      </c>
      <c r="T163" s="0" t="n">
        <v>2</v>
      </c>
      <c r="U163" s="0" t="s">
        <v>400</v>
      </c>
      <c r="V163" s="0" t="s">
        <v>40</v>
      </c>
      <c r="Z163" s="0" t="str">
        <f aca="false">HYPERLINK("http://lutemusic.org/composers/Anon/songs/o_mistress_mine/CM/oh_mistress_mine_C.ft3")</f>
        <v>http://lutemusic.org/composers/Anon/songs/o_mistress_mine/CM/oh_mistress_mine_C.ft3</v>
      </c>
      <c r="AA163" s="0" t="str">
        <f aca="false">HYPERLINK("http://lutemusic.org/composers/Anon/songs/o_mistress_mine/CM/pdf/oh_mistress_mine_C.pdf")</f>
        <v>http://lutemusic.org/composers/Anon/songs/o_mistress_mine/CM/pdf/oh_mistress_mine_C.pdf</v>
      </c>
      <c r="AB163" s="0" t="str">
        <f aca="false">HYPERLINK("http://lutemusic.org/composers/Anon/songs/o_mistress_mine/CM/midi/oh_mistress_mine_C.mid")</f>
        <v>http://lutemusic.org/composers/Anon/songs/o_mistress_mine/CM/midi/oh_mistress_mine_C.mid</v>
      </c>
      <c r="AC163" s="0" t="n">
        <v>1573937406</v>
      </c>
      <c r="AD163" s="0" t="n">
        <v>1586042061</v>
      </c>
    </row>
    <row r="164" customFormat="false" ht="12.8" hidden="false" customHeight="false" outlineLevel="0" collapsed="false">
      <c r="A164" s="0" t="s">
        <v>447</v>
      </c>
      <c r="C164" s="0" t="s">
        <v>448</v>
      </c>
      <c r="E164" s="0" t="s">
        <v>449</v>
      </c>
      <c r="F164" s="0" t="s">
        <v>450</v>
      </c>
      <c r="H164" s="0" t="n">
        <v>1600</v>
      </c>
      <c r="J164" s="0" t="s">
        <v>36</v>
      </c>
      <c r="K164" s="0" t="s">
        <v>36</v>
      </c>
      <c r="L164" s="0" t="s">
        <v>36</v>
      </c>
      <c r="M164" s="0" t="s">
        <v>36</v>
      </c>
      <c r="P164" s="0" t="s">
        <v>447</v>
      </c>
      <c r="R164" s="0" t="s">
        <v>51</v>
      </c>
      <c r="S164" s="0" t="s">
        <v>38</v>
      </c>
      <c r="T164" s="0" t="n">
        <v>2</v>
      </c>
      <c r="U164" s="0" t="s">
        <v>400</v>
      </c>
      <c r="V164" s="0" t="s">
        <v>63</v>
      </c>
      <c r="Z164" s="0" t="str">
        <f aca="false">HYPERLINK("http://lutemusic.org/composers/Anon/songs/o_mistress_mine/CM/oh_mistress_mine_C_T.ft3")</f>
        <v>http://lutemusic.org/composers/Anon/songs/o_mistress_mine/CM/oh_mistress_mine_C_T.ft3</v>
      </c>
      <c r="AA164" s="0" t="str">
        <f aca="false">HYPERLINK("http://lutemusic.org/composers/Anon/songs/o_mistress_mine/CM/pdf/oh_mistress_mine_C_T.pdf")</f>
        <v>http://lutemusic.org/composers/Anon/songs/o_mistress_mine/CM/pdf/oh_mistress_mine_C_T.pdf</v>
      </c>
      <c r="AB164" s="0" t="str">
        <f aca="false">HYPERLINK("http://lutemusic.org/composers/Anon/songs/o_mistress_mine/CM/midi/oh_mistress_mine_C_T.mid")</f>
        <v>http://lutemusic.org/composers/Anon/songs/o_mistress_mine/CM/midi/oh_mistress_mine_C_T.mid</v>
      </c>
      <c r="AC164" s="0" t="n">
        <v>1573937406</v>
      </c>
      <c r="AD164" s="0" t="n">
        <v>1586042061</v>
      </c>
    </row>
    <row r="165" customFormat="false" ht="12.8" hidden="false" customHeight="false" outlineLevel="0" collapsed="false">
      <c r="A165" s="0" t="s">
        <v>447</v>
      </c>
      <c r="C165" s="0" t="s">
        <v>448</v>
      </c>
      <c r="E165" s="0" t="s">
        <v>449</v>
      </c>
      <c r="F165" s="0" t="s">
        <v>450</v>
      </c>
      <c r="H165" s="0" t="n">
        <v>1600</v>
      </c>
      <c r="J165" s="0" t="s">
        <v>36</v>
      </c>
      <c r="K165" s="0" t="s">
        <v>36</v>
      </c>
      <c r="L165" s="0" t="s">
        <v>36</v>
      </c>
      <c r="M165" s="0" t="s">
        <v>36</v>
      </c>
      <c r="P165" s="0" t="s">
        <v>447</v>
      </c>
      <c r="R165" s="0" t="s">
        <v>51</v>
      </c>
      <c r="S165" s="0" t="s">
        <v>49</v>
      </c>
      <c r="T165" s="0" t="n">
        <v>2</v>
      </c>
      <c r="U165" s="0" t="s">
        <v>446</v>
      </c>
      <c r="V165" s="0" t="s">
        <v>40</v>
      </c>
      <c r="Z165" s="0" t="str">
        <f aca="false">HYPERLINK("http://lutemusic.org/composers/Anon/songs/o_mistress_mine/FM/oh_mistress_mine_F.ft3")</f>
        <v>http://lutemusic.org/composers/Anon/songs/o_mistress_mine/FM/oh_mistress_mine_F.ft3</v>
      </c>
      <c r="AA165" s="0" t="str">
        <f aca="false">HYPERLINK("http://lutemusic.org/composers/Anon/songs/o_mistress_mine/FM/pdf/oh_mistress_mine_F.pdf")</f>
        <v>http://lutemusic.org/composers/Anon/songs/o_mistress_mine/FM/pdf/oh_mistress_mine_F.pdf</v>
      </c>
      <c r="AB165" s="0" t="str">
        <f aca="false">HYPERLINK("http://lutemusic.org/composers/Anon/songs/o_mistress_mine/FM/midi/oh_mistress_mine_F.mid")</f>
        <v>http://lutemusic.org/composers/Anon/songs/o_mistress_mine/FM/midi/oh_mistress_mine_F.mid</v>
      </c>
      <c r="AC165" s="0" t="n">
        <v>1573937406</v>
      </c>
      <c r="AD165" s="0" t="n">
        <v>1586042061</v>
      </c>
    </row>
    <row r="166" customFormat="false" ht="12.8" hidden="false" customHeight="false" outlineLevel="0" collapsed="false">
      <c r="A166" s="0" t="s">
        <v>447</v>
      </c>
      <c r="C166" s="0" t="s">
        <v>448</v>
      </c>
      <c r="E166" s="0" t="s">
        <v>449</v>
      </c>
      <c r="F166" s="0" t="s">
        <v>450</v>
      </c>
      <c r="H166" s="0" t="n">
        <v>1600</v>
      </c>
      <c r="J166" s="0" t="s">
        <v>36</v>
      </c>
      <c r="K166" s="0" t="s">
        <v>36</v>
      </c>
      <c r="L166" s="0" t="s">
        <v>36</v>
      </c>
      <c r="M166" s="0" t="s">
        <v>36</v>
      </c>
      <c r="P166" s="0" t="s">
        <v>447</v>
      </c>
      <c r="R166" s="0" t="s">
        <v>51</v>
      </c>
      <c r="S166" s="0" t="s">
        <v>49</v>
      </c>
      <c r="T166" s="0" t="n">
        <v>2</v>
      </c>
      <c r="U166" s="0" t="s">
        <v>446</v>
      </c>
      <c r="V166" s="0" t="s">
        <v>53</v>
      </c>
      <c r="Z166" s="0" t="str">
        <f aca="false">HYPERLINK("http://lutemusic.org/composers/Anon/songs/o_mistress_mine/FM/oh_mistress_mine_F_T.ft3")</f>
        <v>http://lutemusic.org/composers/Anon/songs/o_mistress_mine/FM/oh_mistress_mine_F_T.ft3</v>
      </c>
      <c r="AA166" s="0" t="str">
        <f aca="false">HYPERLINK("http://lutemusic.org/composers/Anon/songs/o_mistress_mine/FM/pdf/oh_mistress_mine_F_T.pdf")</f>
        <v>http://lutemusic.org/composers/Anon/songs/o_mistress_mine/FM/pdf/oh_mistress_mine_F_T.pdf</v>
      </c>
      <c r="AB166" s="0" t="str">
        <f aca="false">HYPERLINK("http://lutemusic.org/composers/Anon/songs/o_mistress_mine/FM/midi/oh_mistress_mine_F_T.mid")</f>
        <v>http://lutemusic.org/composers/Anon/songs/o_mistress_mine/FM/midi/oh_mistress_mine_F_T.mid</v>
      </c>
      <c r="AC166" s="0" t="n">
        <v>1573937406</v>
      </c>
      <c r="AD166" s="0" t="n">
        <v>1586042061</v>
      </c>
    </row>
    <row r="167" customFormat="false" ht="12.8" hidden="false" customHeight="false" outlineLevel="0" collapsed="false">
      <c r="A167" s="0" t="s">
        <v>451</v>
      </c>
      <c r="B167" s="0" t="s">
        <v>452</v>
      </c>
      <c r="C167" s="0" t="s">
        <v>79</v>
      </c>
      <c r="E167" s="0" t="s">
        <v>418</v>
      </c>
      <c r="F167" s="0" t="s">
        <v>419</v>
      </c>
      <c r="H167" s="0" t="n">
        <v>1610</v>
      </c>
      <c r="I167" s="0" t="s">
        <v>453</v>
      </c>
      <c r="J167" s="0" t="s">
        <v>36</v>
      </c>
      <c r="K167" s="0" t="s">
        <v>36</v>
      </c>
      <c r="P167" s="0" t="s">
        <v>451</v>
      </c>
      <c r="R167" s="0" t="s">
        <v>51</v>
      </c>
      <c r="S167" s="0" t="s">
        <v>175</v>
      </c>
      <c r="T167" s="0" t="n">
        <v>3</v>
      </c>
      <c r="U167" s="0" t="s">
        <v>454</v>
      </c>
      <c r="V167" s="0" t="s">
        <v>455</v>
      </c>
      <c r="Y167" s="0" t="str">
        <f aca="false">HYPERLINK("http://lutemusic.org/facsimiles/DowlandR/A_Musicall_Banquet_1610/h2v.png")</f>
        <v>http://lutemusic.org/facsimiles/DowlandR/A_Musicall_Banquet_1610/h2v.png</v>
      </c>
      <c r="Z167" s="0" t="str">
        <f aca="false">HYPERLINK("http://lutemusic.org/composers/Anon/songs/passava_amor/passava_amor.ft3")</f>
        <v>http://lutemusic.org/composers/Anon/songs/passava_amor/passava_amor.ft3</v>
      </c>
      <c r="AA167" s="0" t="str">
        <f aca="false">HYPERLINK("http://lutemusic.org/composers/Anon/songs/passava_amor/pdf/passava_amor.pdf")</f>
        <v>http://lutemusic.org/composers/Anon/songs/passava_amor/pdf/passava_amor.pdf</v>
      </c>
      <c r="AB167" s="0" t="str">
        <f aca="false">HYPERLINK("http://lutemusic.org/composers/Anon/songs/passava_amor/midi/passava_amor.mid")</f>
        <v>http://lutemusic.org/composers/Anon/songs/passava_amor/midi/passava_amor.mid</v>
      </c>
      <c r="AC167" s="0" t="n">
        <v>1573937406</v>
      </c>
      <c r="AD167" s="0" t="n">
        <v>1588451611</v>
      </c>
    </row>
    <row r="168" customFormat="false" ht="12.8" hidden="false" customHeight="false" outlineLevel="0" collapsed="false">
      <c r="A168" s="0" t="s">
        <v>451</v>
      </c>
      <c r="B168" s="0" t="s">
        <v>452</v>
      </c>
      <c r="C168" s="0" t="s">
        <v>79</v>
      </c>
      <c r="E168" s="0" t="s">
        <v>418</v>
      </c>
      <c r="F168" s="0" t="s">
        <v>419</v>
      </c>
      <c r="H168" s="0" t="n">
        <v>1610</v>
      </c>
      <c r="I168" s="0" t="s">
        <v>453</v>
      </c>
      <c r="J168" s="0" t="s">
        <v>36</v>
      </c>
      <c r="K168" s="0" t="s">
        <v>36</v>
      </c>
      <c r="P168" s="0" t="s">
        <v>451</v>
      </c>
      <c r="R168" s="0" t="s">
        <v>51</v>
      </c>
      <c r="S168" s="0" t="s">
        <v>175</v>
      </c>
      <c r="T168" s="0" t="n">
        <v>3</v>
      </c>
      <c r="U168" s="0" t="s">
        <v>454</v>
      </c>
      <c r="V168" s="0" t="s">
        <v>423</v>
      </c>
      <c r="Y168" s="0" t="str">
        <f aca="false">HYPERLINK("http://lutemusic.org/facsimiles/DowlandR/A_Musicall_Banquet_1610/h2v.png")</f>
        <v>http://lutemusic.org/facsimiles/DowlandR/A_Musicall_Banquet_1610/h2v.png</v>
      </c>
      <c r="Z168" s="0" t="str">
        <f aca="false">HYPERLINK("http://lutemusic.org/composers/Anon/songs/passava_amor/passava_amor_B.ft3")</f>
        <v>http://lutemusic.org/composers/Anon/songs/passava_amor/passava_amor_B.ft3</v>
      </c>
      <c r="AA168" s="0" t="str">
        <f aca="false">HYPERLINK("http://lutemusic.org/composers/Anon/songs/passava_amor/pdf/passava_amor_B.pdf")</f>
        <v>http://lutemusic.org/composers/Anon/songs/passava_amor/pdf/passava_amor_B.pdf</v>
      </c>
      <c r="AB168" s="0" t="str">
        <f aca="false">HYPERLINK("http://lutemusic.org/composers/Anon/songs/passava_amor/midi/passava_amor_B.mid")</f>
        <v>http://lutemusic.org/composers/Anon/songs/passava_amor/midi/passava_amor_B.mid</v>
      </c>
      <c r="AC168" s="0" t="n">
        <v>1573937406</v>
      </c>
      <c r="AD168" s="0" t="n">
        <v>1588451611</v>
      </c>
    </row>
    <row r="169" customFormat="false" ht="12.8" hidden="false" customHeight="false" outlineLevel="0" collapsed="false">
      <c r="A169" s="0" t="s">
        <v>451</v>
      </c>
      <c r="B169" s="0" t="s">
        <v>452</v>
      </c>
      <c r="C169" s="0" t="s">
        <v>79</v>
      </c>
      <c r="E169" s="0" t="s">
        <v>418</v>
      </c>
      <c r="F169" s="0" t="s">
        <v>419</v>
      </c>
      <c r="H169" s="0" t="n">
        <v>1610</v>
      </c>
      <c r="I169" s="0" t="s">
        <v>453</v>
      </c>
      <c r="J169" s="0" t="s">
        <v>36</v>
      </c>
      <c r="K169" s="0" t="s">
        <v>36</v>
      </c>
      <c r="P169" s="0" t="s">
        <v>451</v>
      </c>
      <c r="R169" s="0" t="s">
        <v>51</v>
      </c>
      <c r="S169" s="0" t="s">
        <v>175</v>
      </c>
      <c r="T169" s="0" t="n">
        <v>3</v>
      </c>
      <c r="U169" s="0" t="s">
        <v>454</v>
      </c>
      <c r="V169" s="0" t="s">
        <v>40</v>
      </c>
      <c r="Y169" s="0" t="str">
        <f aca="false">HYPERLINK("http://lutemusic.org/facsimiles/DowlandR/A_Musicall_Banquet_1610/h2v.png")</f>
        <v>http://lutemusic.org/facsimiles/DowlandR/A_Musicall_Banquet_1610/h2v.png</v>
      </c>
      <c r="Z169" s="0" t="str">
        <f aca="false">HYPERLINK("http://lutemusic.org/composers/Anon/songs/passava_amor/passava_amor_S.ft3")</f>
        <v>http://lutemusic.org/composers/Anon/songs/passava_amor/passava_amor_S.ft3</v>
      </c>
      <c r="AA169" s="0" t="str">
        <f aca="false">HYPERLINK("http://lutemusic.org/composers/Anon/songs/passava_amor/pdf/passava_amor_S.pdf")</f>
        <v>http://lutemusic.org/composers/Anon/songs/passava_amor/pdf/passava_amor_S.pdf</v>
      </c>
      <c r="AB169" s="0" t="str">
        <f aca="false">HYPERLINK("http://lutemusic.org/composers/Anon/songs/passava_amor/midi/passava_amor_S.mid")</f>
        <v>http://lutemusic.org/composers/Anon/songs/passava_amor/midi/passava_amor_S.mid</v>
      </c>
      <c r="AC169" s="0" t="n">
        <v>1573937406</v>
      </c>
      <c r="AD169" s="0" t="n">
        <v>1588451611</v>
      </c>
    </row>
    <row r="170" customFormat="false" ht="12.8" hidden="false" customHeight="false" outlineLevel="0" collapsed="false">
      <c r="A170" s="0" t="s">
        <v>451</v>
      </c>
      <c r="B170" s="0" t="s">
        <v>452</v>
      </c>
      <c r="C170" s="0" t="s">
        <v>79</v>
      </c>
      <c r="E170" s="0" t="s">
        <v>418</v>
      </c>
      <c r="F170" s="0" t="s">
        <v>419</v>
      </c>
      <c r="H170" s="0" t="n">
        <v>1610</v>
      </c>
      <c r="I170" s="0" t="s">
        <v>453</v>
      </c>
      <c r="J170" s="0" t="s">
        <v>36</v>
      </c>
      <c r="K170" s="0" t="s">
        <v>36</v>
      </c>
      <c r="P170" s="0" t="s">
        <v>451</v>
      </c>
      <c r="R170" s="0" t="s">
        <v>51</v>
      </c>
      <c r="S170" s="0" t="s">
        <v>175</v>
      </c>
      <c r="T170" s="0" t="n">
        <v>3</v>
      </c>
      <c r="U170" s="0" t="s">
        <v>454</v>
      </c>
      <c r="V170" s="0" t="s">
        <v>53</v>
      </c>
      <c r="Y170" s="0" t="str">
        <f aca="false">HYPERLINK("http://lutemusic.org/facsimiles/DowlandR/A_Musicall_Banquet_1610/h2v.png")</f>
        <v>http://lutemusic.org/facsimiles/DowlandR/A_Musicall_Banquet_1610/h2v.png</v>
      </c>
      <c r="Z170" s="0" t="str">
        <f aca="false">HYPERLINK("http://lutemusic.org/composers/Anon/songs/passava_amor/passava_amor_T.ft3")</f>
        <v>http://lutemusic.org/composers/Anon/songs/passava_amor/passava_amor_T.ft3</v>
      </c>
      <c r="AA170" s="0" t="str">
        <f aca="false">HYPERLINK("http://lutemusic.org/composers/Anon/songs/passava_amor/pdf/passava_amor_T.pdf")</f>
        <v>http://lutemusic.org/composers/Anon/songs/passava_amor/pdf/passava_amor_T.pdf</v>
      </c>
      <c r="AB170" s="0" t="str">
        <f aca="false">HYPERLINK("http://lutemusic.org/composers/Anon/songs/passava_amor/midi/passava_amor_T.mid")</f>
        <v>http://lutemusic.org/composers/Anon/songs/passava_amor/midi/passava_amor_T.mid</v>
      </c>
      <c r="AC170" s="0" t="n">
        <v>1573937406</v>
      </c>
      <c r="AD170" s="0" t="n">
        <v>1588451611</v>
      </c>
    </row>
    <row r="171" customFormat="false" ht="12.8" hidden="false" customHeight="false" outlineLevel="0" collapsed="false">
      <c r="A171" s="0" t="s">
        <v>456</v>
      </c>
      <c r="C171" s="0" t="s">
        <v>79</v>
      </c>
      <c r="E171" s="0" t="s">
        <v>154</v>
      </c>
      <c r="F171" s="0" t="s">
        <v>69</v>
      </c>
      <c r="H171" s="0" t="n">
        <v>1600</v>
      </c>
      <c r="I171" s="0" t="s">
        <v>322</v>
      </c>
      <c r="J171" s="0" t="s">
        <v>36</v>
      </c>
      <c r="K171" s="0" t="s">
        <v>36</v>
      </c>
      <c r="L171" s="0" t="s">
        <v>36</v>
      </c>
      <c r="P171" s="0" t="s">
        <v>456</v>
      </c>
      <c r="R171" s="0" t="s">
        <v>51</v>
      </c>
      <c r="S171" s="0" t="s">
        <v>38</v>
      </c>
      <c r="T171" s="0" t="n">
        <v>1</v>
      </c>
      <c r="U171" s="0" t="s">
        <v>457</v>
      </c>
      <c r="V171" s="0" t="s">
        <v>143</v>
      </c>
      <c r="Z171" s="0" t="str">
        <f aca="false">HYPERLINK("http://lutemusic.org/composers/Anon/songs/pretty_sweet_jinny/pretty_sweet_jinny_T.ft3")</f>
        <v>http://lutemusic.org/composers/Anon/songs/pretty_sweet_jinny/pretty_sweet_jinny_T.ft3</v>
      </c>
      <c r="AA171" s="0" t="str">
        <f aca="false">HYPERLINK("http://lutemusic.org/composers/Anon/songs/pretty_sweet_jinny/pdf/pretty_sweet_jinny_T.pdf")</f>
        <v>http://lutemusic.org/composers/Anon/songs/pretty_sweet_jinny/pdf/pretty_sweet_jinny_T.pdf</v>
      </c>
      <c r="AB171" s="0" t="str">
        <f aca="false">HYPERLINK("http://lutemusic.org/composers/Anon/songs/pretty_sweet_jinny/midi/pretty_sweet_jinny_T.mid")</f>
        <v>http://lutemusic.org/composers/Anon/songs/pretty_sweet_jinny/midi/pretty_sweet_jinny_T.mid</v>
      </c>
      <c r="AC171" s="0" t="n">
        <v>1573937406</v>
      </c>
      <c r="AD171" s="0" t="n">
        <v>1586042061</v>
      </c>
    </row>
    <row r="172" customFormat="false" ht="12.8" hidden="false" customHeight="false" outlineLevel="0" collapsed="false">
      <c r="A172" s="0" t="s">
        <v>456</v>
      </c>
      <c r="C172" s="0" t="s">
        <v>79</v>
      </c>
      <c r="E172" s="0" t="s">
        <v>154</v>
      </c>
      <c r="F172" s="0" t="s">
        <v>69</v>
      </c>
      <c r="H172" s="0" t="n">
        <v>1600</v>
      </c>
      <c r="I172" s="0" t="s">
        <v>322</v>
      </c>
      <c r="J172" s="0" t="s">
        <v>36</v>
      </c>
      <c r="K172" s="0" t="s">
        <v>36</v>
      </c>
      <c r="L172" s="0" t="s">
        <v>36</v>
      </c>
      <c r="P172" s="0" t="s">
        <v>456</v>
      </c>
      <c r="R172" s="0" t="s">
        <v>51</v>
      </c>
      <c r="S172" s="0" t="s">
        <v>38</v>
      </c>
      <c r="T172" s="0" t="n">
        <v>1</v>
      </c>
      <c r="U172" s="0" t="s">
        <v>457</v>
      </c>
      <c r="V172" s="0" t="s">
        <v>40</v>
      </c>
      <c r="Z172" s="0" t="str">
        <f aca="false">HYPERLINK("http://lutemusic.org/composers/Anon/songs/pretty_sweet_jinny/pretty_sweet_jinny_VT.ft3")</f>
        <v>http://lutemusic.org/composers/Anon/songs/pretty_sweet_jinny/pretty_sweet_jinny_VT.ft3</v>
      </c>
      <c r="AA172" s="0" t="str">
        <f aca="false">HYPERLINK("http://lutemusic.org/composers/Anon/songs/pretty_sweet_jinny/pdf/pretty_sweet_jinny_VT.pdf")</f>
        <v>http://lutemusic.org/composers/Anon/songs/pretty_sweet_jinny/pdf/pretty_sweet_jinny_VT.pdf</v>
      </c>
      <c r="AB172" s="0" t="str">
        <f aca="false">HYPERLINK("http://lutemusic.org/composers/Anon/songs/pretty_sweet_jinny/midi/pretty_sweet_jinny_VT.mid")</f>
        <v>http://lutemusic.org/composers/Anon/songs/pretty_sweet_jinny/midi/pretty_sweet_jinny_VT.mid</v>
      </c>
      <c r="AC172" s="0" t="n">
        <v>1573937406</v>
      </c>
      <c r="AD172" s="0" t="n">
        <v>1586042061</v>
      </c>
    </row>
    <row r="173" customFormat="false" ht="12.8" hidden="false" customHeight="false" outlineLevel="0" collapsed="false">
      <c r="A173" s="0" t="s">
        <v>458</v>
      </c>
      <c r="C173" s="0" t="s">
        <v>79</v>
      </c>
      <c r="E173" s="0" t="s">
        <v>428</v>
      </c>
      <c r="F173" s="0" t="s">
        <v>431</v>
      </c>
      <c r="H173" s="0" t="n">
        <v>1436</v>
      </c>
      <c r="I173" s="0" t="s">
        <v>35</v>
      </c>
      <c r="J173" s="0" t="s">
        <v>36</v>
      </c>
      <c r="K173" s="0" t="s">
        <v>432</v>
      </c>
      <c r="L173" s="0" t="s">
        <v>432</v>
      </c>
      <c r="P173" s="0" t="s">
        <v>458</v>
      </c>
      <c r="R173" s="0" t="s">
        <v>51</v>
      </c>
      <c r="S173" s="0" t="s">
        <v>62</v>
      </c>
      <c r="T173" s="0" t="n">
        <v>2</v>
      </c>
      <c r="U173" s="0" t="s">
        <v>400</v>
      </c>
      <c r="V173" s="0" t="s">
        <v>40</v>
      </c>
      <c r="Z173" s="0" t="str">
        <f aca="false">HYPERLINK("http://lutemusic.org/composers/Anon/songs/quant_la_douce/quant_la_douce.ft3")</f>
        <v>http://lutemusic.org/composers/Anon/songs/quant_la_douce/quant_la_douce.ft3</v>
      </c>
      <c r="AA173" s="0" t="str">
        <f aca="false">HYPERLINK("http://lutemusic.org/composers/Anon/songs/quant_la_douce/pdf/quant_la_douce.pdf")</f>
        <v>http://lutemusic.org/composers/Anon/songs/quant_la_douce/pdf/quant_la_douce.pdf</v>
      </c>
      <c r="AB173" s="0" t="str">
        <f aca="false">HYPERLINK("http://lutemusic.org/composers/Anon/songs/quant_la_douce/midi/quant_la_douce.mid")</f>
        <v>http://lutemusic.org/composers/Anon/songs/quant_la_douce/midi/quant_la_douce.mid</v>
      </c>
      <c r="AC173" s="0" t="n">
        <v>1573937406</v>
      </c>
      <c r="AD173" s="0" t="n">
        <v>1586042061</v>
      </c>
    </row>
    <row r="174" customFormat="false" ht="12.8" hidden="false" customHeight="false" outlineLevel="0" collapsed="false">
      <c r="A174" s="0" t="s">
        <v>458</v>
      </c>
      <c r="C174" s="0" t="s">
        <v>79</v>
      </c>
      <c r="E174" s="0" t="s">
        <v>428</v>
      </c>
      <c r="F174" s="0" t="s">
        <v>431</v>
      </c>
      <c r="H174" s="0" t="n">
        <v>1436</v>
      </c>
      <c r="I174" s="0" t="s">
        <v>35</v>
      </c>
      <c r="J174" s="0" t="s">
        <v>36</v>
      </c>
      <c r="K174" s="0" t="s">
        <v>432</v>
      </c>
      <c r="L174" s="0" t="s">
        <v>432</v>
      </c>
      <c r="P174" s="0" t="s">
        <v>458</v>
      </c>
      <c r="R174" s="0" t="s">
        <v>51</v>
      </c>
      <c r="S174" s="0" t="s">
        <v>62</v>
      </c>
      <c r="T174" s="0" t="n">
        <v>2</v>
      </c>
      <c r="U174" s="0" t="s">
        <v>400</v>
      </c>
      <c r="V174" s="0" t="s">
        <v>63</v>
      </c>
      <c r="Z174" s="0" t="str">
        <f aca="false">HYPERLINK("http://lutemusic.org/composers/Anon/songs/quant_la_douce/quant_la_douce_T.ft3")</f>
        <v>http://lutemusic.org/composers/Anon/songs/quant_la_douce/quant_la_douce_T.ft3</v>
      </c>
      <c r="AA174" s="0" t="str">
        <f aca="false">HYPERLINK("http://lutemusic.org/composers/Anon/songs/quant_la_douce/pdf/quant_la_douce_T.pdf")</f>
        <v>http://lutemusic.org/composers/Anon/songs/quant_la_douce/pdf/quant_la_douce_T.pdf</v>
      </c>
      <c r="AB174" s="0" t="str">
        <f aca="false">HYPERLINK("http://lutemusic.org/composers/Anon/songs/quant_la_douce/midi/quant_la_douce_T.mid")</f>
        <v>http://lutemusic.org/composers/Anon/songs/quant_la_douce/midi/quant_la_douce_T.mid</v>
      </c>
      <c r="AC174" s="0" t="n">
        <v>1573937406</v>
      </c>
      <c r="AD174" s="0" t="n">
        <v>1586042061</v>
      </c>
    </row>
    <row r="175" customFormat="false" ht="12.8" hidden="false" customHeight="false" outlineLevel="0" collapsed="false">
      <c r="A175" s="0" t="s">
        <v>459</v>
      </c>
      <c r="C175" s="0" t="s">
        <v>79</v>
      </c>
      <c r="E175" s="0" t="s">
        <v>402</v>
      </c>
      <c r="F175" s="0" t="s">
        <v>403</v>
      </c>
      <c r="H175" s="0" t="n">
        <v>1584</v>
      </c>
      <c r="I175" s="0" t="s">
        <v>460</v>
      </c>
      <c r="J175" s="0" t="s">
        <v>36</v>
      </c>
      <c r="K175" s="0" t="s">
        <v>405</v>
      </c>
      <c r="P175" s="0" t="s">
        <v>459</v>
      </c>
      <c r="R175" s="0" t="s">
        <v>51</v>
      </c>
      <c r="S175" s="0" t="s">
        <v>119</v>
      </c>
      <c r="T175" s="0" t="n">
        <v>3</v>
      </c>
      <c r="U175" s="0" t="s">
        <v>461</v>
      </c>
      <c r="V175" s="0" t="s">
        <v>40</v>
      </c>
      <c r="Z175" s="0" t="str">
        <f aca="false">HYPERLINK("http://lutemusic.org/composers/Anon/songs/quel_lamp_esser/12_quel_lamp_esser.ft3")</f>
        <v>http://lutemusic.org/composers/Anon/songs/quel_lamp_esser/12_quel_lamp_esser.ft3</v>
      </c>
      <c r="AA175" s="0" t="str">
        <f aca="false">HYPERLINK("http://lutemusic.org/composers/Anon/songs/quel_lamp_esser/pdf/12_quel_lamp_esser.pdf")</f>
        <v>http://lutemusic.org/composers/Anon/songs/quel_lamp_esser/pdf/12_quel_lamp_esser.pdf</v>
      </c>
      <c r="AB175" s="0" t="str">
        <f aca="false">HYPERLINK("http://lutemusic.org/composers/Anon/songs/quel_lamp_esser/midi/12_quel_lamp_esser.mid")</f>
        <v>http://lutemusic.org/composers/Anon/songs/quel_lamp_esser/midi/12_quel_lamp_esser.mid</v>
      </c>
      <c r="AC175" s="0" t="n">
        <v>1573937406</v>
      </c>
      <c r="AD175" s="0" t="n">
        <v>1586042061</v>
      </c>
    </row>
    <row r="176" customFormat="false" ht="12.8" hidden="false" customHeight="false" outlineLevel="0" collapsed="false">
      <c r="A176" s="0" t="s">
        <v>459</v>
      </c>
      <c r="C176" s="0" t="s">
        <v>79</v>
      </c>
      <c r="E176" s="0" t="s">
        <v>402</v>
      </c>
      <c r="F176" s="0" t="s">
        <v>403</v>
      </c>
      <c r="H176" s="0" t="n">
        <v>1584</v>
      </c>
      <c r="I176" s="0" t="s">
        <v>460</v>
      </c>
      <c r="J176" s="0" t="s">
        <v>36</v>
      </c>
      <c r="K176" s="0" t="s">
        <v>405</v>
      </c>
      <c r="P176" s="0" t="s">
        <v>459</v>
      </c>
      <c r="R176" s="0" t="s">
        <v>51</v>
      </c>
      <c r="S176" s="0" t="s">
        <v>119</v>
      </c>
      <c r="T176" s="0" t="n">
        <v>3</v>
      </c>
      <c r="U176" s="0" t="s">
        <v>461</v>
      </c>
      <c r="V176" s="0" t="s">
        <v>63</v>
      </c>
      <c r="Z176" s="0" t="str">
        <f aca="false">HYPERLINK("http://lutemusic.org/composers/Anon/songs/quel_lamp_esser/12_quel_lamp_esser_T.ft3")</f>
        <v>http://lutemusic.org/composers/Anon/songs/quel_lamp_esser/12_quel_lamp_esser_T.ft3</v>
      </c>
      <c r="AA176" s="0" t="str">
        <f aca="false">HYPERLINK("http://lutemusic.org/composers/Anon/songs/quel_lamp_esser/pdf/12_quel_lamp_esser_T.pdf")</f>
        <v>http://lutemusic.org/composers/Anon/songs/quel_lamp_esser/pdf/12_quel_lamp_esser_T.pdf</v>
      </c>
      <c r="AB176" s="0" t="str">
        <f aca="false">HYPERLINK("http://lutemusic.org/composers/Anon/songs/quel_lamp_esser/midi/12_quel_lamp_esser_T.mid")</f>
        <v>http://lutemusic.org/composers/Anon/songs/quel_lamp_esser/midi/12_quel_lamp_esser_T.mid</v>
      </c>
      <c r="AC176" s="0" t="n">
        <v>1573937406</v>
      </c>
      <c r="AD176" s="0" t="n">
        <v>1586042061</v>
      </c>
    </row>
    <row r="177" customFormat="false" ht="12.8" hidden="false" customHeight="false" outlineLevel="0" collapsed="false">
      <c r="A177" s="0" t="s">
        <v>462</v>
      </c>
      <c r="C177" s="0" t="s">
        <v>79</v>
      </c>
      <c r="E177" s="0" t="s">
        <v>398</v>
      </c>
      <c r="F177" s="0" t="s">
        <v>399</v>
      </c>
      <c r="H177" s="0" t="n">
        <v>1556</v>
      </c>
      <c r="I177" s="0" t="s">
        <v>262</v>
      </c>
      <c r="J177" s="0" t="s">
        <v>36</v>
      </c>
      <c r="K177" s="0" t="s">
        <v>36</v>
      </c>
      <c r="L177" s="0" t="s">
        <v>36</v>
      </c>
      <c r="P177" s="0" t="s">
        <v>462</v>
      </c>
      <c r="R177" s="0" t="s">
        <v>463</v>
      </c>
      <c r="S177" s="0" t="s">
        <v>49</v>
      </c>
      <c r="T177" s="0" t="n">
        <v>2</v>
      </c>
      <c r="U177" s="0" t="s">
        <v>464</v>
      </c>
      <c r="V177" s="0" t="s">
        <v>40</v>
      </c>
      <c r="Z177" s="0" t="str">
        <f aca="false">HYPERLINK("http://lutemusic.org/composers/Anon/songs/riu_riu_chiu/anon-riu.ft3")</f>
        <v>http://lutemusic.org/composers/Anon/songs/riu_riu_chiu/anon-riu.ft3</v>
      </c>
      <c r="AA177" s="0" t="str">
        <f aca="false">HYPERLINK("http://lutemusic.org/composers/Anon/songs/riu_riu_chiu/pdf/anon-riu.pdf")</f>
        <v>http://lutemusic.org/composers/Anon/songs/riu_riu_chiu/pdf/anon-riu.pdf</v>
      </c>
      <c r="AB177" s="0" t="str">
        <f aca="false">HYPERLINK("http://lutemusic.org/composers/Anon/songs/riu_riu_chiu/midi/anon-riu.mid")</f>
        <v>http://lutemusic.org/composers/Anon/songs/riu_riu_chiu/midi/anon-riu.mid</v>
      </c>
      <c r="AC177" s="0" t="n">
        <v>1573937406</v>
      </c>
      <c r="AD177" s="0" t="n">
        <v>1586042061</v>
      </c>
    </row>
    <row r="178" customFormat="false" ht="12.8" hidden="false" customHeight="false" outlineLevel="0" collapsed="false">
      <c r="A178" s="0" t="s">
        <v>462</v>
      </c>
      <c r="C178" s="0" t="s">
        <v>79</v>
      </c>
      <c r="E178" s="0" t="s">
        <v>398</v>
      </c>
      <c r="F178" s="0" t="s">
        <v>399</v>
      </c>
      <c r="H178" s="0" t="n">
        <v>1556</v>
      </c>
      <c r="I178" s="0" t="s">
        <v>262</v>
      </c>
      <c r="J178" s="0" t="s">
        <v>36</v>
      </c>
      <c r="K178" s="0" t="s">
        <v>36</v>
      </c>
      <c r="L178" s="0" t="s">
        <v>36</v>
      </c>
      <c r="P178" s="0" t="s">
        <v>462</v>
      </c>
      <c r="R178" s="0" t="s">
        <v>463</v>
      </c>
      <c r="S178" s="0" t="s">
        <v>49</v>
      </c>
      <c r="T178" s="0" t="n">
        <v>2</v>
      </c>
      <c r="U178" s="0" t="s">
        <v>464</v>
      </c>
      <c r="V178" s="0" t="s">
        <v>63</v>
      </c>
      <c r="Z178" s="0" t="str">
        <f aca="false">HYPERLINK("http://lutemusic.org/composers/Anon/songs/riu_riu_chiu/anon-riu_T.ft3")</f>
        <v>http://lutemusic.org/composers/Anon/songs/riu_riu_chiu/anon-riu_T.ft3</v>
      </c>
      <c r="AA178" s="0" t="str">
        <f aca="false">HYPERLINK("http://lutemusic.org/composers/Anon/songs/riu_riu_chiu/pdf/anon-riu_T.pdf")</f>
        <v>http://lutemusic.org/composers/Anon/songs/riu_riu_chiu/pdf/anon-riu_T.pdf</v>
      </c>
      <c r="AB178" s="0" t="str">
        <f aca="false">HYPERLINK("http://lutemusic.org/composers/Anon/songs/riu_riu_chiu/midi/anon-riu_T.mid")</f>
        <v>http://lutemusic.org/composers/Anon/songs/riu_riu_chiu/midi/anon-riu_T.mid</v>
      </c>
      <c r="AC178" s="0" t="n">
        <v>1573937406</v>
      </c>
      <c r="AD178" s="0" t="n">
        <v>1586042061</v>
      </c>
    </row>
    <row r="179" customFormat="false" ht="12.8" hidden="false" customHeight="false" outlineLevel="0" collapsed="false">
      <c r="A179" s="0" t="s">
        <v>465</v>
      </c>
      <c r="C179" s="0" t="s">
        <v>79</v>
      </c>
      <c r="E179" s="0" t="s">
        <v>154</v>
      </c>
      <c r="F179" s="0" t="s">
        <v>69</v>
      </c>
      <c r="H179" s="0" t="n">
        <v>1600</v>
      </c>
      <c r="I179" s="0" t="s">
        <v>466</v>
      </c>
      <c r="J179" s="0" t="s">
        <v>36</v>
      </c>
      <c r="K179" s="0" t="s">
        <v>36</v>
      </c>
      <c r="L179" s="0" t="s">
        <v>36</v>
      </c>
      <c r="P179" s="0" t="s">
        <v>465</v>
      </c>
      <c r="R179" s="0" t="s">
        <v>51</v>
      </c>
      <c r="S179" s="0" t="s">
        <v>66</v>
      </c>
      <c r="T179" s="0" t="n">
        <v>2</v>
      </c>
      <c r="U179" s="0" t="s">
        <v>400</v>
      </c>
      <c r="V179" s="0" t="s">
        <v>63</v>
      </c>
      <c r="Z179" s="0" t="str">
        <f aca="false">HYPERLINK("http://lutemusic.org/composers/Anon/songs/robin_is_to_the_green_wood_gone/robin_is_to_the_green_wood_gone_T.ft3")</f>
        <v>http://lutemusic.org/composers/Anon/songs/robin_is_to_the_green_wood_gone/robin_is_to_the_green_wood_gone_T.ft3</v>
      </c>
      <c r="AA179" s="0" t="str">
        <f aca="false">HYPERLINK("http://lutemusic.org/composers/Anon/songs/robin_is_to_the_green_wood_gone/pdf/robin_is_to_the_green_wood_gone_T.pdf")</f>
        <v>http://lutemusic.org/composers/Anon/songs/robin_is_to_the_green_wood_gone/pdf/robin_is_to_the_green_wood_gone_T.pdf</v>
      </c>
      <c r="AB179" s="0" t="str">
        <f aca="false">HYPERLINK("http://lutemusic.org/composers/Anon/songs/robin_is_to_the_green_wood_gone/midi/robin_is_to_the_green_wood_gone_T.mid")</f>
        <v>http://lutemusic.org/composers/Anon/songs/robin_is_to_the_green_wood_gone/midi/robin_is_to_the_green_wood_gone_T.mid</v>
      </c>
      <c r="AC179" s="0" t="n">
        <v>1573937406</v>
      </c>
      <c r="AD179" s="0" t="n">
        <v>1590339152</v>
      </c>
    </row>
    <row r="180" customFormat="false" ht="12.8" hidden="false" customHeight="false" outlineLevel="0" collapsed="false">
      <c r="A180" s="0" t="s">
        <v>465</v>
      </c>
      <c r="C180" s="0" t="s">
        <v>79</v>
      </c>
      <c r="E180" s="0" t="s">
        <v>154</v>
      </c>
      <c r="F180" s="0" t="s">
        <v>69</v>
      </c>
      <c r="H180" s="0" t="n">
        <v>1600</v>
      </c>
      <c r="I180" s="0" t="s">
        <v>466</v>
      </c>
      <c r="J180" s="0" t="s">
        <v>36</v>
      </c>
      <c r="K180" s="0" t="s">
        <v>36</v>
      </c>
      <c r="L180" s="0" t="s">
        <v>36</v>
      </c>
      <c r="P180" s="0" t="s">
        <v>465</v>
      </c>
      <c r="R180" s="0" t="s">
        <v>51</v>
      </c>
      <c r="S180" s="0" t="s">
        <v>66</v>
      </c>
      <c r="T180" s="0" t="n">
        <v>2</v>
      </c>
      <c r="U180" s="0" t="s">
        <v>400</v>
      </c>
      <c r="V180" s="0" t="s">
        <v>40</v>
      </c>
      <c r="Z180" s="0" t="str">
        <f aca="false">HYPERLINK("http://lutemusic.org/composers/Anon/songs/robin_is_to_the_green_wood_gone/robin_is_to_the_green_wood_gone_VT.ft3")</f>
        <v>http://lutemusic.org/composers/Anon/songs/robin_is_to_the_green_wood_gone/robin_is_to_the_green_wood_gone_VT.ft3</v>
      </c>
      <c r="AA180" s="0" t="str">
        <f aca="false">HYPERLINK("http://lutemusic.org/composers/Anon/songs/robin_is_to_the_green_wood_gone/pdf/robin_is_to_the_green_wood_gone_VT.pdf")</f>
        <v>http://lutemusic.org/composers/Anon/songs/robin_is_to_the_green_wood_gone/pdf/robin_is_to_the_green_wood_gone_VT.pdf</v>
      </c>
      <c r="AB180" s="0" t="str">
        <f aca="false">HYPERLINK("http://lutemusic.org/composers/Anon/songs/robin_is_to_the_green_wood_gone/midi/robin_is_to_the_green_wood_gone_VT.mid")</f>
        <v>http://lutemusic.org/composers/Anon/songs/robin_is_to_the_green_wood_gone/midi/robin_is_to_the_green_wood_gone_VT.mid</v>
      </c>
      <c r="AC180" s="0" t="n">
        <v>1573937406</v>
      </c>
      <c r="AD180" s="0" t="n">
        <v>1590339200</v>
      </c>
    </row>
    <row r="181" customFormat="false" ht="12.8" hidden="false" customHeight="false" outlineLevel="0" collapsed="false">
      <c r="A181" s="0" t="s">
        <v>467</v>
      </c>
      <c r="C181" s="0" t="s">
        <v>468</v>
      </c>
      <c r="E181" s="0" t="s">
        <v>418</v>
      </c>
      <c r="F181" s="0" t="s">
        <v>419</v>
      </c>
      <c r="H181" s="0" t="n">
        <v>1610</v>
      </c>
      <c r="I181" s="0" t="s">
        <v>469</v>
      </c>
      <c r="J181" s="0" t="s">
        <v>36</v>
      </c>
      <c r="K181" s="0" t="s">
        <v>36</v>
      </c>
      <c r="L181" s="0" t="s">
        <v>36</v>
      </c>
      <c r="P181" s="0" t="s">
        <v>467</v>
      </c>
      <c r="R181" s="0" t="s">
        <v>406</v>
      </c>
      <c r="S181" s="0" t="s">
        <v>119</v>
      </c>
      <c r="T181" s="0" t="n">
        <v>3</v>
      </c>
      <c r="U181" s="0" t="s">
        <v>441</v>
      </c>
      <c r="V181" s="0" t="s">
        <v>425</v>
      </c>
      <c r="Y181" s="0" t="str">
        <f aca="false">HYPERLINK("http://lutemusic.org/facsimiles/DowlandR/A_Musicall_Banquet_1610/k1v.png")</f>
        <v>http://lutemusic.org/facsimiles/DowlandR/A_Musicall_Banquet_1610/k1v.png</v>
      </c>
      <c r="Z181" s="0" t="str">
        <f aca="false">HYPERLINK("http://lutemusic.org/composers/Anon/songs/se_di_far_mi_morire/se_di_far_mi_morire.ft3")</f>
        <v>http://lutemusic.org/composers/Anon/songs/se_di_far_mi_morire/se_di_far_mi_morire.ft3</v>
      </c>
      <c r="AA181" s="0" t="str">
        <f aca="false">HYPERLINK("http://lutemusic.org/composers/Anon/songs/se_di_far_mi_morire/pdf/se_di_far_mi_morire.pdf")</f>
        <v>http://lutemusic.org/composers/Anon/songs/se_di_far_mi_morire/pdf/se_di_far_mi_morire.pdf</v>
      </c>
      <c r="AB181" s="0" t="str">
        <f aca="false">HYPERLINK("http://lutemusic.org/composers/Anon/songs/se_di_far_mi_morire/midi/se_di_far_mi_morire.mid")</f>
        <v>http://lutemusic.org/composers/Anon/songs/se_di_far_mi_morire/midi/se_di_far_mi_morire.mid</v>
      </c>
      <c r="AC181" s="0" t="n">
        <v>1573937406</v>
      </c>
      <c r="AD181" s="0" t="n">
        <v>1588451611</v>
      </c>
    </row>
    <row r="182" customFormat="false" ht="12.8" hidden="false" customHeight="false" outlineLevel="0" collapsed="false">
      <c r="A182" s="0" t="s">
        <v>467</v>
      </c>
      <c r="C182" s="0" t="s">
        <v>468</v>
      </c>
      <c r="E182" s="0" t="s">
        <v>418</v>
      </c>
      <c r="F182" s="0" t="s">
        <v>419</v>
      </c>
      <c r="H182" s="0" t="n">
        <v>1610</v>
      </c>
      <c r="I182" s="0" t="s">
        <v>469</v>
      </c>
      <c r="J182" s="0" t="s">
        <v>36</v>
      </c>
      <c r="K182" s="0" t="s">
        <v>36</v>
      </c>
      <c r="L182" s="0" t="s">
        <v>36</v>
      </c>
      <c r="P182" s="0" t="s">
        <v>467</v>
      </c>
      <c r="R182" s="0" t="s">
        <v>406</v>
      </c>
      <c r="S182" s="0" t="s">
        <v>119</v>
      </c>
      <c r="T182" s="0" t="n">
        <v>3</v>
      </c>
      <c r="U182" s="0" t="s">
        <v>441</v>
      </c>
      <c r="V182" s="0" t="s">
        <v>423</v>
      </c>
      <c r="Y182" s="0" t="str">
        <f aca="false">HYPERLINK("http://lutemusic.org/facsimiles/DowlandR/A_Musicall_Banquet_1610/k1v.png")</f>
        <v>http://lutemusic.org/facsimiles/DowlandR/A_Musicall_Banquet_1610/k1v.png</v>
      </c>
      <c r="Z182" s="0" t="str">
        <f aca="false">HYPERLINK("http://lutemusic.org/composers/Anon/songs/se_di_far_mi_morire/se_di_far_mi_morire_B.ft3")</f>
        <v>http://lutemusic.org/composers/Anon/songs/se_di_far_mi_morire/se_di_far_mi_morire_B.ft3</v>
      </c>
      <c r="AA182" s="0" t="str">
        <f aca="false">HYPERLINK("http://lutemusic.org/composers/Anon/songs/se_di_far_mi_morire/pdf/se_di_far_mi_morire_B.pdf")</f>
        <v>http://lutemusic.org/composers/Anon/songs/se_di_far_mi_morire/pdf/se_di_far_mi_morire_B.pdf</v>
      </c>
      <c r="AB182" s="0" t="str">
        <f aca="false">HYPERLINK("http://lutemusic.org/composers/Anon/songs/se_di_far_mi_morire/midi/se_di_far_mi_morire_B.mid")</f>
        <v>http://lutemusic.org/composers/Anon/songs/se_di_far_mi_morire/midi/se_di_far_mi_morire_B.mid</v>
      </c>
      <c r="AC182" s="0" t="n">
        <v>1573937406</v>
      </c>
      <c r="AD182" s="0" t="n">
        <v>1588451611</v>
      </c>
    </row>
    <row r="183" customFormat="false" ht="12.8" hidden="false" customHeight="false" outlineLevel="0" collapsed="false">
      <c r="A183" s="0" t="s">
        <v>467</v>
      </c>
      <c r="C183" s="0" t="s">
        <v>468</v>
      </c>
      <c r="E183" s="0" t="s">
        <v>418</v>
      </c>
      <c r="F183" s="0" t="s">
        <v>419</v>
      </c>
      <c r="H183" s="0" t="n">
        <v>1610</v>
      </c>
      <c r="I183" s="0" t="s">
        <v>469</v>
      </c>
      <c r="J183" s="0" t="s">
        <v>36</v>
      </c>
      <c r="K183" s="0" t="s">
        <v>36</v>
      </c>
      <c r="L183" s="0" t="s">
        <v>36</v>
      </c>
      <c r="P183" s="0" t="s">
        <v>467</v>
      </c>
      <c r="R183" s="0" t="s">
        <v>406</v>
      </c>
      <c r="S183" s="0" t="s">
        <v>119</v>
      </c>
      <c r="T183" s="0" t="n">
        <v>3</v>
      </c>
      <c r="U183" s="0" t="s">
        <v>441</v>
      </c>
      <c r="V183" s="0" t="s">
        <v>40</v>
      </c>
      <c r="Y183" s="0" t="str">
        <f aca="false">HYPERLINK("http://lutemusic.org/facsimiles/DowlandR/A_Musicall_Banquet_1610/k1v.png")</f>
        <v>http://lutemusic.org/facsimiles/DowlandR/A_Musicall_Banquet_1610/k1v.png</v>
      </c>
      <c r="Z183" s="0" t="str">
        <f aca="false">HYPERLINK("http://lutemusic.org/composers/Anon/songs/se_di_far_mi_morire/se_di_far_mi_morire_S.ft3")</f>
        <v>http://lutemusic.org/composers/Anon/songs/se_di_far_mi_morire/se_di_far_mi_morire_S.ft3</v>
      </c>
      <c r="AA183" s="0" t="str">
        <f aca="false">HYPERLINK("http://lutemusic.org/composers/Anon/songs/se_di_far_mi_morire/pdf/se_di_far_mi_morire_S.pdf")</f>
        <v>http://lutemusic.org/composers/Anon/songs/se_di_far_mi_morire/pdf/se_di_far_mi_morire_S.pdf</v>
      </c>
      <c r="AB183" s="0" t="str">
        <f aca="false">HYPERLINK("http://lutemusic.org/composers/Anon/songs/se_di_far_mi_morire/midi/se_di_far_mi_morire_S.mid")</f>
        <v>http://lutemusic.org/composers/Anon/songs/se_di_far_mi_morire/midi/se_di_far_mi_morire_S.mid</v>
      </c>
      <c r="AC183" s="0" t="n">
        <v>1573937406</v>
      </c>
      <c r="AD183" s="0" t="n">
        <v>1588451611</v>
      </c>
    </row>
    <row r="184" customFormat="false" ht="12.8" hidden="false" customHeight="false" outlineLevel="0" collapsed="false">
      <c r="A184" s="0" t="s">
        <v>467</v>
      </c>
      <c r="C184" s="0" t="s">
        <v>468</v>
      </c>
      <c r="E184" s="0" t="s">
        <v>418</v>
      </c>
      <c r="F184" s="0" t="s">
        <v>419</v>
      </c>
      <c r="H184" s="0" t="n">
        <v>1610</v>
      </c>
      <c r="I184" s="0" t="s">
        <v>469</v>
      </c>
      <c r="J184" s="0" t="s">
        <v>36</v>
      </c>
      <c r="K184" s="0" t="s">
        <v>36</v>
      </c>
      <c r="L184" s="0" t="s">
        <v>36</v>
      </c>
      <c r="P184" s="0" t="s">
        <v>467</v>
      </c>
      <c r="R184" s="0" t="s">
        <v>406</v>
      </c>
      <c r="S184" s="0" t="s">
        <v>119</v>
      </c>
      <c r="T184" s="0" t="n">
        <v>3</v>
      </c>
      <c r="U184" s="0" t="s">
        <v>441</v>
      </c>
      <c r="V184" s="0" t="s">
        <v>143</v>
      </c>
      <c r="Y184" s="0" t="str">
        <f aca="false">HYPERLINK("http://lutemusic.org/facsimiles/DowlandR/A_Musicall_Banquet_1610/k1v.png")</f>
        <v>http://lutemusic.org/facsimiles/DowlandR/A_Musicall_Banquet_1610/k1v.png</v>
      </c>
      <c r="Z184" s="0" t="str">
        <f aca="false">HYPERLINK("http://lutemusic.org/composers/Anon/songs/se_di_far_mi_morire/se_di_far_mi_morire_T.ft3")</f>
        <v>http://lutemusic.org/composers/Anon/songs/se_di_far_mi_morire/se_di_far_mi_morire_T.ft3</v>
      </c>
      <c r="AA184" s="0" t="str">
        <f aca="false">HYPERLINK("http://lutemusic.org/composers/Anon/songs/se_di_far_mi_morire/pdf/se_di_far_mi_morire_T.pdf")</f>
        <v>http://lutemusic.org/composers/Anon/songs/se_di_far_mi_morire/pdf/se_di_far_mi_morire_T.pdf</v>
      </c>
      <c r="AB184" s="0" t="str">
        <f aca="false">HYPERLINK("http://lutemusic.org/composers/Anon/songs/se_di_far_mi_morire/midi/se_di_far_mi_morire_T.mid")</f>
        <v>http://lutemusic.org/composers/Anon/songs/se_di_far_mi_morire/midi/se_di_far_mi_morire_T.mid</v>
      </c>
      <c r="AC184" s="0" t="n">
        <v>1573937406</v>
      </c>
      <c r="AD184" s="0" t="n">
        <v>1588451611</v>
      </c>
    </row>
    <row r="185" customFormat="false" ht="12.8" hidden="false" customHeight="false" outlineLevel="0" collapsed="false">
      <c r="A185" s="0" t="s">
        <v>470</v>
      </c>
      <c r="C185" s="0" t="s">
        <v>79</v>
      </c>
      <c r="E185" s="0" t="s">
        <v>418</v>
      </c>
      <c r="F185" s="0" t="s">
        <v>419</v>
      </c>
      <c r="H185" s="0" t="n">
        <v>1610</v>
      </c>
      <c r="I185" s="0" t="s">
        <v>471</v>
      </c>
      <c r="J185" s="0" t="s">
        <v>36</v>
      </c>
      <c r="K185" s="0" t="s">
        <v>36</v>
      </c>
      <c r="L185" s="0" t="s">
        <v>36</v>
      </c>
      <c r="P185" s="0" t="s">
        <v>470</v>
      </c>
      <c r="R185" s="0" t="s">
        <v>51</v>
      </c>
      <c r="S185" s="0" t="s">
        <v>84</v>
      </c>
      <c r="T185" s="0" t="n">
        <v>2</v>
      </c>
      <c r="U185" s="0" t="s">
        <v>472</v>
      </c>
      <c r="V185" s="0" t="s">
        <v>473</v>
      </c>
      <c r="Y185" s="0" t="str">
        <f aca="false">HYPERLINK("http://lutemusic.org/facsimiles/DowlandR/A_Musicall_Banquet_1610/i1v.png")</f>
        <v>http://lutemusic.org/facsimiles/DowlandR/A_Musicall_Banquet_1610/i1v.png</v>
      </c>
      <c r="Z185" s="0" t="str">
        <f aca="false">HYPERLINK("http://lutemusic.org/composers/Anon/songs/sta_notte_mi_sognava/sta_notte_mi_sognava.ft3")</f>
        <v>http://lutemusic.org/composers/Anon/songs/sta_notte_mi_sognava/sta_notte_mi_sognava.ft3</v>
      </c>
      <c r="AA185" s="0" t="str">
        <f aca="false">HYPERLINK("http://lutemusic.org/composers/Anon/songs/sta_notte_mi_sognava/pdf/sta_notte_mi_sognava.pdf")</f>
        <v>http://lutemusic.org/composers/Anon/songs/sta_notte_mi_sognava/pdf/sta_notte_mi_sognava.pdf</v>
      </c>
      <c r="AB185" s="0" t="str">
        <f aca="false">HYPERLINK("http://lutemusic.org/composers/Anon/songs/sta_notte_mi_sognava/midi/sta_notte_mi_sognava.mid")</f>
        <v>http://lutemusic.org/composers/Anon/songs/sta_notte_mi_sognava/midi/sta_notte_mi_sognava.mid</v>
      </c>
      <c r="AC185" s="0" t="n">
        <v>1573937406</v>
      </c>
      <c r="AD185" s="0" t="n">
        <v>1588451611</v>
      </c>
    </row>
    <row r="186" customFormat="false" ht="12.8" hidden="false" customHeight="false" outlineLevel="0" collapsed="false">
      <c r="A186" s="0" t="s">
        <v>470</v>
      </c>
      <c r="C186" s="0" t="s">
        <v>79</v>
      </c>
      <c r="E186" s="0" t="s">
        <v>418</v>
      </c>
      <c r="F186" s="0" t="s">
        <v>419</v>
      </c>
      <c r="H186" s="0" t="n">
        <v>1610</v>
      </c>
      <c r="I186" s="0" t="s">
        <v>471</v>
      </c>
      <c r="J186" s="0" t="s">
        <v>36</v>
      </c>
      <c r="K186" s="0" t="s">
        <v>36</v>
      </c>
      <c r="L186" s="0" t="s">
        <v>36</v>
      </c>
      <c r="P186" s="0" t="s">
        <v>470</v>
      </c>
      <c r="R186" s="0" t="s">
        <v>51</v>
      </c>
      <c r="S186" s="0" t="s">
        <v>84</v>
      </c>
      <c r="T186" s="0" t="n">
        <v>2</v>
      </c>
      <c r="U186" s="0" t="s">
        <v>472</v>
      </c>
      <c r="V186" s="0" t="s">
        <v>423</v>
      </c>
      <c r="Y186" s="0" t="str">
        <f aca="false">HYPERLINK("http://lutemusic.org/facsimiles/DowlandR/A_Musicall_Banquet_1610/i1v.png")</f>
        <v>http://lutemusic.org/facsimiles/DowlandR/A_Musicall_Banquet_1610/i1v.png</v>
      </c>
      <c r="Z186" s="0" t="str">
        <f aca="false">HYPERLINK("http://lutemusic.org/composers/Anon/songs/sta_notte_mi_sognava/sta_notte_mi_sognava_B.ft3")</f>
        <v>http://lutemusic.org/composers/Anon/songs/sta_notte_mi_sognava/sta_notte_mi_sognava_B.ft3</v>
      </c>
      <c r="AA186" s="0" t="str">
        <f aca="false">HYPERLINK("http://lutemusic.org/composers/Anon/songs/sta_notte_mi_sognava/pdf/sta_notte_mi_sognava_B.pdf")</f>
        <v>http://lutemusic.org/composers/Anon/songs/sta_notte_mi_sognava/pdf/sta_notte_mi_sognava_B.pdf</v>
      </c>
      <c r="AB186" s="0" t="str">
        <f aca="false">HYPERLINK("http://lutemusic.org/composers/Anon/songs/sta_notte_mi_sognava/midi/sta_notte_mi_sognava_B.mid")</f>
        <v>http://lutemusic.org/composers/Anon/songs/sta_notte_mi_sognava/midi/sta_notte_mi_sognava_B.mid</v>
      </c>
      <c r="AC186" s="0" t="n">
        <v>1573937406</v>
      </c>
      <c r="AD186" s="0" t="n">
        <v>1588451611</v>
      </c>
    </row>
    <row r="187" customFormat="false" ht="12.8" hidden="false" customHeight="false" outlineLevel="0" collapsed="false">
      <c r="A187" s="0" t="s">
        <v>470</v>
      </c>
      <c r="C187" s="0" t="s">
        <v>79</v>
      </c>
      <c r="E187" s="0" t="s">
        <v>418</v>
      </c>
      <c r="F187" s="0" t="s">
        <v>419</v>
      </c>
      <c r="H187" s="0" t="n">
        <v>1610</v>
      </c>
      <c r="I187" s="0" t="s">
        <v>471</v>
      </c>
      <c r="J187" s="0" t="s">
        <v>36</v>
      </c>
      <c r="K187" s="0" t="s">
        <v>36</v>
      </c>
      <c r="L187" s="0" t="s">
        <v>36</v>
      </c>
      <c r="P187" s="0" t="s">
        <v>470</v>
      </c>
      <c r="R187" s="0" t="s">
        <v>51</v>
      </c>
      <c r="S187" s="0" t="s">
        <v>84</v>
      </c>
      <c r="T187" s="0" t="n">
        <v>2</v>
      </c>
      <c r="U187" s="0" t="s">
        <v>472</v>
      </c>
      <c r="V187" s="0" t="s">
        <v>40</v>
      </c>
      <c r="Y187" s="0" t="str">
        <f aca="false">HYPERLINK("http://lutemusic.org/facsimiles/DowlandR/A_Musicall_Banquet_1610/i1v.png")</f>
        <v>http://lutemusic.org/facsimiles/DowlandR/A_Musicall_Banquet_1610/i1v.png</v>
      </c>
      <c r="Z187" s="0" t="str">
        <f aca="false">HYPERLINK("http://lutemusic.org/composers/Anon/songs/sta_notte_mi_sognava/sta_notte_mi_sognava_S.ft3")</f>
        <v>http://lutemusic.org/composers/Anon/songs/sta_notte_mi_sognava/sta_notte_mi_sognava_S.ft3</v>
      </c>
      <c r="AA187" s="0" t="str">
        <f aca="false">HYPERLINK("http://lutemusic.org/composers/Anon/songs/sta_notte_mi_sognava/pdf/sta_notte_mi_sognava_S.pdf")</f>
        <v>http://lutemusic.org/composers/Anon/songs/sta_notte_mi_sognava/pdf/sta_notte_mi_sognava_S.pdf</v>
      </c>
      <c r="AB187" s="0" t="str">
        <f aca="false">HYPERLINK("http://lutemusic.org/composers/Anon/songs/sta_notte_mi_sognava/midi/sta_notte_mi_sognava_S.mid")</f>
        <v>http://lutemusic.org/composers/Anon/songs/sta_notte_mi_sognava/midi/sta_notte_mi_sognava_S.mid</v>
      </c>
      <c r="AC187" s="0" t="n">
        <v>1573937406</v>
      </c>
      <c r="AD187" s="0" t="n">
        <v>1588451611</v>
      </c>
    </row>
    <row r="188" customFormat="false" ht="12.8" hidden="false" customHeight="false" outlineLevel="0" collapsed="false">
      <c r="A188" s="0" t="s">
        <v>470</v>
      </c>
      <c r="C188" s="0" t="s">
        <v>79</v>
      </c>
      <c r="E188" s="0" t="s">
        <v>418</v>
      </c>
      <c r="F188" s="0" t="s">
        <v>419</v>
      </c>
      <c r="H188" s="0" t="n">
        <v>1610</v>
      </c>
      <c r="I188" s="0" t="s">
        <v>471</v>
      </c>
      <c r="J188" s="0" t="s">
        <v>36</v>
      </c>
      <c r="K188" s="0" t="s">
        <v>36</v>
      </c>
      <c r="L188" s="0" t="s">
        <v>36</v>
      </c>
      <c r="P188" s="0" t="s">
        <v>470</v>
      </c>
      <c r="R188" s="0" t="s">
        <v>51</v>
      </c>
      <c r="S188" s="0" t="s">
        <v>84</v>
      </c>
      <c r="T188" s="0" t="n">
        <v>2</v>
      </c>
      <c r="U188" s="0" t="s">
        <v>472</v>
      </c>
      <c r="V188" s="0" t="s">
        <v>143</v>
      </c>
      <c r="Y188" s="0" t="str">
        <f aca="false">HYPERLINK("http://lutemusic.org/facsimiles/DowlandR/A_Musicall_Banquet_1610/i1v.png")</f>
        <v>http://lutemusic.org/facsimiles/DowlandR/A_Musicall_Banquet_1610/i1v.png</v>
      </c>
      <c r="Z188" s="0" t="str">
        <f aca="false">HYPERLINK("http://lutemusic.org/composers/Anon/songs/sta_notte_mi_sognava/sta_notte_mi_sognava_T.ft3")</f>
        <v>http://lutemusic.org/composers/Anon/songs/sta_notte_mi_sognava/sta_notte_mi_sognava_T.ft3</v>
      </c>
      <c r="AA188" s="0" t="str">
        <f aca="false">HYPERLINK("http://lutemusic.org/composers/Anon/songs/sta_notte_mi_sognava/pdf/sta_notte_mi_sognava_T.pdf")</f>
        <v>http://lutemusic.org/composers/Anon/songs/sta_notte_mi_sognava/pdf/sta_notte_mi_sognava_T.pdf</v>
      </c>
      <c r="AB188" s="0" t="str">
        <f aca="false">HYPERLINK("http://lutemusic.org/composers/Anon/songs/sta_notte_mi_sognava/midi/sta_notte_mi_sognava_T.mid")</f>
        <v>http://lutemusic.org/composers/Anon/songs/sta_notte_mi_sognava/midi/sta_notte_mi_sognava_T.mid</v>
      </c>
      <c r="AC188" s="0" t="n">
        <v>1573937406</v>
      </c>
      <c r="AD188" s="0" t="n">
        <v>1588451611</v>
      </c>
    </row>
    <row r="189" customFormat="false" ht="12.8" hidden="false" customHeight="false" outlineLevel="0" collapsed="false">
      <c r="A189" s="0" t="s">
        <v>474</v>
      </c>
      <c r="C189" s="0" t="s">
        <v>79</v>
      </c>
      <c r="E189" s="0" t="s">
        <v>33</v>
      </c>
      <c r="F189" s="0" t="s">
        <v>475</v>
      </c>
      <c r="H189" s="0" t="n">
        <v>1620</v>
      </c>
      <c r="J189" s="0" t="s">
        <v>36</v>
      </c>
      <c r="K189" s="0" t="s">
        <v>36</v>
      </c>
      <c r="L189" s="0" t="s">
        <v>36</v>
      </c>
      <c r="P189" s="0" t="s">
        <v>474</v>
      </c>
      <c r="R189" s="0" t="s">
        <v>51</v>
      </c>
      <c r="S189" s="0" t="s">
        <v>38</v>
      </c>
      <c r="T189" s="0" t="n">
        <v>3</v>
      </c>
      <c r="U189" s="0" t="s">
        <v>473</v>
      </c>
      <c r="V189" s="0" t="s">
        <v>40</v>
      </c>
      <c r="Z189" s="0" t="str">
        <f aca="false">HYPERLINK("http://lutemusic.org/composers/Anon/songs/this_merry_pleasant_spring/this_merry_pleasant_spring.ft3")</f>
        <v>http://lutemusic.org/composers/Anon/songs/this_merry_pleasant_spring/this_merry_pleasant_spring.ft3</v>
      </c>
      <c r="AA189" s="0" t="str">
        <f aca="false">HYPERLINK("http://lutemusic.org/composers/Anon/songs/this_merry_pleasant_spring/pdf/this_merry_pleasant_spring.pdf")</f>
        <v>http://lutemusic.org/composers/Anon/songs/this_merry_pleasant_spring/pdf/this_merry_pleasant_spring.pdf</v>
      </c>
      <c r="AB189" s="0" t="str">
        <f aca="false">HYPERLINK("http://lutemusic.org/composers/Anon/songs/this_merry_pleasant_spring/midi/this_merry_pleasant_spring.mid")</f>
        <v>http://lutemusic.org/composers/Anon/songs/this_merry_pleasant_spring/midi/this_merry_pleasant_spring.mid</v>
      </c>
      <c r="AC189" s="0" t="n">
        <v>1573937406</v>
      </c>
      <c r="AD189" s="0" t="n">
        <v>1586042061</v>
      </c>
    </row>
    <row r="190" customFormat="false" ht="12.8" hidden="false" customHeight="false" outlineLevel="0" collapsed="false">
      <c r="A190" s="0" t="s">
        <v>474</v>
      </c>
      <c r="C190" s="0" t="s">
        <v>79</v>
      </c>
      <c r="E190" s="0" t="s">
        <v>33</v>
      </c>
      <c r="F190" s="0" t="s">
        <v>475</v>
      </c>
      <c r="H190" s="0" t="n">
        <v>1620</v>
      </c>
      <c r="J190" s="0" t="s">
        <v>36</v>
      </c>
      <c r="K190" s="0" t="s">
        <v>36</v>
      </c>
      <c r="L190" s="0" t="s">
        <v>36</v>
      </c>
      <c r="P190" s="0" t="s">
        <v>474</v>
      </c>
      <c r="R190" s="0" t="s">
        <v>51</v>
      </c>
      <c r="S190" s="0" t="s">
        <v>38</v>
      </c>
      <c r="T190" s="0" t="n">
        <v>3</v>
      </c>
      <c r="U190" s="0" t="s">
        <v>473</v>
      </c>
      <c r="V190" s="0" t="s">
        <v>143</v>
      </c>
      <c r="Z190" s="0" t="str">
        <f aca="false">HYPERLINK("http://lutemusic.org/composers/Anon/songs/this_merry_pleasant_spring/this_merry_pleasant_spring_T.ft3")</f>
        <v>http://lutemusic.org/composers/Anon/songs/this_merry_pleasant_spring/this_merry_pleasant_spring_T.ft3</v>
      </c>
      <c r="AA190" s="0" t="str">
        <f aca="false">HYPERLINK("http://lutemusic.org/composers/Anon/songs/this_merry_pleasant_spring/pdf/this_merry_pleasant_spring_T.pdf")</f>
        <v>http://lutemusic.org/composers/Anon/songs/this_merry_pleasant_spring/pdf/this_merry_pleasant_spring_T.pdf</v>
      </c>
      <c r="AB190" s="0" t="str">
        <f aca="false">HYPERLINK("http://lutemusic.org/composers/Anon/songs/this_merry_pleasant_spring/midi/this_merry_pleasant_spring_T.mid")</f>
        <v>http://lutemusic.org/composers/Anon/songs/this_merry_pleasant_spring/midi/this_merry_pleasant_spring_T.mid</v>
      </c>
      <c r="AC190" s="0" t="n">
        <v>1573937406</v>
      </c>
      <c r="AD190" s="0" t="n">
        <v>1586042061</v>
      </c>
    </row>
    <row r="191" customFormat="false" ht="12.8" hidden="false" customHeight="false" outlineLevel="0" collapsed="false">
      <c r="A191" s="0" t="s">
        <v>476</v>
      </c>
      <c r="C191" s="0" t="s">
        <v>79</v>
      </c>
      <c r="E191" s="0" t="s">
        <v>394</v>
      </c>
      <c r="F191" s="0" t="s">
        <v>477</v>
      </c>
      <c r="H191" s="0" t="n">
        <v>1623</v>
      </c>
      <c r="J191" s="0" t="s">
        <v>36</v>
      </c>
      <c r="K191" s="0" t="s">
        <v>36</v>
      </c>
      <c r="L191" s="0" t="s">
        <v>36</v>
      </c>
      <c r="P191" s="0" t="s">
        <v>476</v>
      </c>
      <c r="R191" s="0" t="s">
        <v>51</v>
      </c>
      <c r="S191" s="0" t="s">
        <v>84</v>
      </c>
      <c r="T191" s="0" t="n">
        <v>2</v>
      </c>
      <c r="U191" s="0" t="s">
        <v>425</v>
      </c>
      <c r="V191" s="0" t="s">
        <v>40</v>
      </c>
      <c r="Z191" s="0" t="str">
        <f aca="false">HYPERLINK("http://lutemusic.org/composers/Anon/songs/three_merry_men/three_merry_men.ft3")</f>
        <v>http://lutemusic.org/composers/Anon/songs/three_merry_men/three_merry_men.ft3</v>
      </c>
      <c r="AA191" s="0" t="str">
        <f aca="false">HYPERLINK("http://lutemusic.org/composers/Anon/songs/three_merry_men/pdf/three_merry_men.pdf")</f>
        <v>http://lutemusic.org/composers/Anon/songs/three_merry_men/pdf/three_merry_men.pdf</v>
      </c>
      <c r="AB191" s="0" t="str">
        <f aca="false">HYPERLINK("http://lutemusic.org/composers/Anon/songs/three_merry_men/midi/three_merry_men.mid")</f>
        <v>http://lutemusic.org/composers/Anon/songs/three_merry_men/midi/three_merry_men.mid</v>
      </c>
      <c r="AC191" s="0" t="n">
        <v>1573937406</v>
      </c>
      <c r="AD191" s="0" t="n">
        <v>1586042061</v>
      </c>
    </row>
    <row r="192" customFormat="false" ht="12.8" hidden="false" customHeight="false" outlineLevel="0" collapsed="false">
      <c r="A192" s="0" t="s">
        <v>476</v>
      </c>
      <c r="C192" s="0" t="s">
        <v>79</v>
      </c>
      <c r="E192" s="0" t="s">
        <v>394</v>
      </c>
      <c r="F192" s="0" t="s">
        <v>477</v>
      </c>
      <c r="H192" s="0" t="n">
        <v>1623</v>
      </c>
      <c r="J192" s="0" t="s">
        <v>36</v>
      </c>
      <c r="K192" s="0" t="s">
        <v>36</v>
      </c>
      <c r="L192" s="0" t="s">
        <v>36</v>
      </c>
      <c r="P192" s="0" t="s">
        <v>476</v>
      </c>
      <c r="R192" s="0" t="s">
        <v>51</v>
      </c>
      <c r="S192" s="0" t="s">
        <v>84</v>
      </c>
      <c r="T192" s="0" t="n">
        <v>2</v>
      </c>
      <c r="U192" s="0" t="s">
        <v>425</v>
      </c>
      <c r="V192" s="0" t="s">
        <v>40</v>
      </c>
      <c r="Z192" s="0" t="str">
        <f aca="false">HYPERLINK("http://lutemusic.org/composers/Anon/songs/three_merry_men/three_merry_men_P.ft3")</f>
        <v>http://lutemusic.org/composers/Anon/songs/three_merry_men/three_merry_men_P.ft3</v>
      </c>
      <c r="AA192" s="0" t="str">
        <f aca="false">HYPERLINK("http://lutemusic.org/composers/Anon/songs/three_merry_men/pdf/three_merry_men_P.pdf")</f>
        <v>http://lutemusic.org/composers/Anon/songs/three_merry_men/pdf/three_merry_men_P.pdf</v>
      </c>
      <c r="AB192" s="0" t="str">
        <f aca="false">HYPERLINK("http://lutemusic.org/composers/Anon/songs/three_merry_men/midi/three_merry_men_P.mid")</f>
        <v>http://lutemusic.org/composers/Anon/songs/three_merry_men/midi/three_merry_men_P.mid</v>
      </c>
      <c r="AC192" s="0" t="n">
        <v>1573937406</v>
      </c>
      <c r="AD192" s="0" t="n">
        <v>1586042061</v>
      </c>
    </row>
    <row r="193" customFormat="false" ht="12.8" hidden="false" customHeight="false" outlineLevel="0" collapsed="false">
      <c r="A193" s="0" t="s">
        <v>476</v>
      </c>
      <c r="C193" s="0" t="s">
        <v>79</v>
      </c>
      <c r="E193" s="0" t="s">
        <v>394</v>
      </c>
      <c r="F193" s="0" t="s">
        <v>477</v>
      </c>
      <c r="H193" s="0" t="n">
        <v>1623</v>
      </c>
      <c r="J193" s="0" t="s">
        <v>36</v>
      </c>
      <c r="K193" s="0" t="s">
        <v>36</v>
      </c>
      <c r="L193" s="0" t="s">
        <v>36</v>
      </c>
      <c r="P193" s="0" t="s">
        <v>476</v>
      </c>
      <c r="R193" s="0" t="s">
        <v>51</v>
      </c>
      <c r="S193" s="0" t="s">
        <v>84</v>
      </c>
      <c r="T193" s="0" t="n">
        <v>2</v>
      </c>
      <c r="U193" s="0" t="s">
        <v>425</v>
      </c>
      <c r="V193" s="0" t="s">
        <v>143</v>
      </c>
      <c r="Z193" s="0" t="str">
        <f aca="false">HYPERLINK("http://lutemusic.org/composers/Anon/songs/three_merry_men/three_merry_men_T.ft3")</f>
        <v>http://lutemusic.org/composers/Anon/songs/three_merry_men/three_merry_men_T.ft3</v>
      </c>
      <c r="AA193" s="0" t="str">
        <f aca="false">HYPERLINK("http://lutemusic.org/composers/Anon/songs/three_merry_men/pdf/three_merry_men_T.pdf")</f>
        <v>http://lutemusic.org/composers/Anon/songs/three_merry_men/pdf/three_merry_men_T.pdf</v>
      </c>
      <c r="AB193" s="0" t="str">
        <f aca="false">HYPERLINK("http://lutemusic.org/composers/Anon/songs/three_merry_men/midi/three_merry_men_T.mid")</f>
        <v>http://lutemusic.org/composers/Anon/songs/three_merry_men/midi/three_merry_men_T.mid</v>
      </c>
      <c r="AC193" s="0" t="n">
        <v>1573937406</v>
      </c>
      <c r="AD193" s="0" t="n">
        <v>1586042061</v>
      </c>
    </row>
    <row r="194" customFormat="false" ht="12.8" hidden="false" customHeight="false" outlineLevel="0" collapsed="false">
      <c r="A194" s="0" t="s">
        <v>478</v>
      </c>
      <c r="C194" s="0" t="s">
        <v>79</v>
      </c>
      <c r="E194" s="0" t="s">
        <v>394</v>
      </c>
      <c r="F194" s="0" t="s">
        <v>479</v>
      </c>
      <c r="H194" s="0" t="n">
        <v>1623</v>
      </c>
      <c r="J194" s="0" t="s">
        <v>36</v>
      </c>
      <c r="K194" s="0" t="s">
        <v>36</v>
      </c>
      <c r="L194" s="0" t="s">
        <v>36</v>
      </c>
      <c r="P194" s="0" t="s">
        <v>478</v>
      </c>
      <c r="R194" s="0" t="s">
        <v>83</v>
      </c>
      <c r="S194" s="0" t="s">
        <v>480</v>
      </c>
      <c r="T194" s="0" t="n">
        <v>3</v>
      </c>
      <c r="U194" s="0" t="s">
        <v>63</v>
      </c>
      <c r="V194" s="0" t="s">
        <v>63</v>
      </c>
      <c r="Z194" s="0" t="str">
        <f aca="false">HYPERLINK("http://lutemusic.org/composers/Anon/songs/tiny_boy/tiny_boy_Am_high_T.ft3")</f>
        <v>http://lutemusic.org/composers/Anon/songs/tiny_boy/tiny_boy_Am_high_T.ft3</v>
      </c>
      <c r="AA194" s="0" t="str">
        <f aca="false">HYPERLINK("http://lutemusic.org/composers/Anon/songs/tiny_boy/pdf/tiny_boy_Am_high_T.pdf")</f>
        <v>http://lutemusic.org/composers/Anon/songs/tiny_boy/pdf/tiny_boy_Am_high_T.pdf</v>
      </c>
      <c r="AB194" s="0" t="str">
        <f aca="false">HYPERLINK("http://lutemusic.org/composers/Anon/songs/tiny_boy/midi/tiny_boy_Am_high_T.mid")</f>
        <v>http://lutemusic.org/composers/Anon/songs/tiny_boy/midi/tiny_boy_Am_high_T.mid</v>
      </c>
      <c r="AC194" s="0" t="n">
        <v>1573937406</v>
      </c>
      <c r="AD194" s="0" t="n">
        <v>1586042061</v>
      </c>
    </row>
    <row r="195" customFormat="false" ht="12.8" hidden="false" customHeight="false" outlineLevel="0" collapsed="false">
      <c r="A195" s="0" t="s">
        <v>478</v>
      </c>
      <c r="C195" s="0" t="s">
        <v>79</v>
      </c>
      <c r="E195" s="0" t="s">
        <v>394</v>
      </c>
      <c r="F195" s="0" t="s">
        <v>479</v>
      </c>
      <c r="H195" s="0" t="n">
        <v>1623</v>
      </c>
      <c r="J195" s="0" t="s">
        <v>36</v>
      </c>
      <c r="K195" s="0" t="s">
        <v>36</v>
      </c>
      <c r="L195" s="0" t="s">
        <v>36</v>
      </c>
      <c r="P195" s="0" t="s">
        <v>478</v>
      </c>
      <c r="R195" s="0" t="s">
        <v>83</v>
      </c>
      <c r="S195" s="0" t="s">
        <v>480</v>
      </c>
      <c r="T195" s="0" t="n">
        <v>2</v>
      </c>
      <c r="U195" s="0" t="s">
        <v>63</v>
      </c>
      <c r="V195" s="0" t="s">
        <v>63</v>
      </c>
      <c r="Z195" s="0" t="str">
        <f aca="false">HYPERLINK("http://lutemusic.org/composers/Anon/songs/tiny_boy/tiny_boy_Am_low_T.ft3")</f>
        <v>http://lutemusic.org/composers/Anon/songs/tiny_boy/tiny_boy_Am_low_T.ft3</v>
      </c>
      <c r="AA195" s="0" t="str">
        <f aca="false">HYPERLINK("http://lutemusic.org/composers/Anon/songs/tiny_boy/pdf/tiny_boy_Am_low_T.pdf")</f>
        <v>http://lutemusic.org/composers/Anon/songs/tiny_boy/pdf/tiny_boy_Am_low_T.pdf</v>
      </c>
      <c r="AB195" s="0" t="str">
        <f aca="false">HYPERLINK("http://lutemusic.org/composers/Anon/songs/tiny_boy/midi/tiny_boy_Am_low_T.mid")</f>
        <v>http://lutemusic.org/composers/Anon/songs/tiny_boy/midi/tiny_boy_Am_low_T.mid</v>
      </c>
      <c r="AC195" s="0" t="n">
        <v>1573937406</v>
      </c>
      <c r="AD195" s="0" t="n">
        <v>1586042061</v>
      </c>
    </row>
    <row r="196" customFormat="false" ht="12.8" hidden="false" customHeight="false" outlineLevel="0" collapsed="false">
      <c r="A196" s="0" t="s">
        <v>478</v>
      </c>
      <c r="C196" s="0" t="s">
        <v>79</v>
      </c>
      <c r="E196" s="0" t="s">
        <v>394</v>
      </c>
      <c r="F196" s="0" t="s">
        <v>479</v>
      </c>
      <c r="H196" s="0" t="n">
        <v>1623</v>
      </c>
      <c r="J196" s="0" t="s">
        <v>36</v>
      </c>
      <c r="K196" s="0" t="s">
        <v>36</v>
      </c>
      <c r="L196" s="0" t="s">
        <v>36</v>
      </c>
      <c r="P196" s="0" t="s">
        <v>478</v>
      </c>
      <c r="R196" s="0" t="s">
        <v>51</v>
      </c>
      <c r="S196" s="0" t="s">
        <v>62</v>
      </c>
      <c r="T196" s="0" t="n">
        <v>3</v>
      </c>
      <c r="U196" s="0" t="s">
        <v>457</v>
      </c>
      <c r="V196" s="0" t="s">
        <v>40</v>
      </c>
      <c r="Z196" s="0" t="str">
        <f aca="false">HYPERLINK("http://lutemusic.org/composers/Anon/songs/tiny_boy/tiny_boy_Dm.ft3")</f>
        <v>http://lutemusic.org/composers/Anon/songs/tiny_boy/tiny_boy_Dm.ft3</v>
      </c>
      <c r="AA196" s="0" t="str">
        <f aca="false">HYPERLINK("http://lutemusic.org/composers/Anon/songs/tiny_boy/pdf/tiny_boy_Dm.pdf")</f>
        <v>http://lutemusic.org/composers/Anon/songs/tiny_boy/pdf/tiny_boy_Dm.pdf</v>
      </c>
      <c r="AB196" s="0" t="str">
        <f aca="false">HYPERLINK("http://lutemusic.org/composers/Anon/songs/tiny_boy/midi/tiny_boy_Dm.mid")</f>
        <v>http://lutemusic.org/composers/Anon/songs/tiny_boy/midi/tiny_boy_Dm.mid</v>
      </c>
      <c r="AC196" s="0" t="n">
        <v>1573937406</v>
      </c>
      <c r="AD196" s="0" t="n">
        <v>1586042061</v>
      </c>
    </row>
    <row r="197" customFormat="false" ht="12.8" hidden="false" customHeight="false" outlineLevel="0" collapsed="false">
      <c r="A197" s="0" t="s">
        <v>478</v>
      </c>
      <c r="C197" s="0" t="s">
        <v>79</v>
      </c>
      <c r="E197" s="0" t="s">
        <v>394</v>
      </c>
      <c r="F197" s="0" t="s">
        <v>479</v>
      </c>
      <c r="H197" s="0" t="n">
        <v>1623</v>
      </c>
      <c r="J197" s="0" t="s">
        <v>36</v>
      </c>
      <c r="K197" s="0" t="s">
        <v>36</v>
      </c>
      <c r="L197" s="0" t="s">
        <v>36</v>
      </c>
      <c r="P197" s="0" t="s">
        <v>478</v>
      </c>
      <c r="R197" s="0" t="s">
        <v>51</v>
      </c>
      <c r="S197" s="0" t="s">
        <v>62</v>
      </c>
      <c r="T197" s="0" t="n">
        <v>3</v>
      </c>
      <c r="U197" s="0" t="s">
        <v>457</v>
      </c>
      <c r="V197" s="0" t="s">
        <v>143</v>
      </c>
      <c r="Z197" s="0" t="str">
        <f aca="false">HYPERLINK("http://lutemusic.org/composers/Anon/songs/tiny_boy/tiny_boy_Dm_T.ft3")</f>
        <v>http://lutemusic.org/composers/Anon/songs/tiny_boy/tiny_boy_Dm_T.ft3</v>
      </c>
      <c r="AA197" s="0" t="str">
        <f aca="false">HYPERLINK("http://lutemusic.org/composers/Anon/songs/tiny_boy/pdf/tiny_boy_Dm_T.pdf")</f>
        <v>http://lutemusic.org/composers/Anon/songs/tiny_boy/pdf/tiny_boy_Dm_T.pdf</v>
      </c>
      <c r="AB197" s="0" t="str">
        <f aca="false">HYPERLINK("http://lutemusic.org/composers/Anon/songs/tiny_boy/midi/tiny_boy_Dm_T.mid")</f>
        <v>http://lutemusic.org/composers/Anon/songs/tiny_boy/midi/tiny_boy_Dm_T.mid</v>
      </c>
      <c r="AC197" s="0" t="n">
        <v>1573937406</v>
      </c>
      <c r="AD197" s="0" t="n">
        <v>1586042061</v>
      </c>
    </row>
    <row r="198" customFormat="false" ht="12.8" hidden="false" customHeight="false" outlineLevel="0" collapsed="false">
      <c r="A198" s="0" t="s">
        <v>481</v>
      </c>
      <c r="C198" s="0" t="s">
        <v>79</v>
      </c>
      <c r="E198" s="0" t="s">
        <v>418</v>
      </c>
      <c r="F198" s="0" t="s">
        <v>419</v>
      </c>
      <c r="H198" s="0" t="n">
        <v>1610</v>
      </c>
      <c r="I198" s="0" t="s">
        <v>482</v>
      </c>
      <c r="J198" s="0" t="s">
        <v>36</v>
      </c>
      <c r="K198" s="0" t="s">
        <v>36</v>
      </c>
      <c r="R198" s="0" t="s">
        <v>51</v>
      </c>
      <c r="S198" s="0" t="s">
        <v>119</v>
      </c>
      <c r="T198" s="0" t="n">
        <v>2</v>
      </c>
      <c r="U198" s="0" t="s">
        <v>483</v>
      </c>
      <c r="V198" s="0" t="s">
        <v>410</v>
      </c>
      <c r="Y198" s="0" t="str">
        <f aca="false">HYPERLINK("http://lutemusic.org/facsimiles/DowlandR/A_Musicall_Banquet_1610/i2v.png")</f>
        <v>http://lutemusic.org/facsimiles/DowlandR/A_Musicall_Banquet_1610/i2v.png</v>
      </c>
      <c r="Z198" s="0" t="str">
        <f aca="false">HYPERLINK("http://lutemusic.org/composers/Anon/songs/vestros_oios_tienen/vestros_oios_tienen.ft3")</f>
        <v>http://lutemusic.org/composers/Anon/songs/vestros_oios_tienen/vestros_oios_tienen.ft3</v>
      </c>
      <c r="AA198" s="0" t="str">
        <f aca="false">HYPERLINK("http://lutemusic.org/composers/Anon/songs/vestros_oios_tienen/pdf/vestros_oios_tienen.pdf")</f>
        <v>http://lutemusic.org/composers/Anon/songs/vestros_oios_tienen/pdf/vestros_oios_tienen.pdf</v>
      </c>
      <c r="AB198" s="0" t="str">
        <f aca="false">HYPERLINK("http://lutemusic.org/composers/Anon/songs/vestros_oios_tienen/midi/vestros_oios_tienen.mid")</f>
        <v>http://lutemusic.org/composers/Anon/songs/vestros_oios_tienen/midi/vestros_oios_tienen.mid</v>
      </c>
      <c r="AC198" s="0" t="n">
        <v>1573937406</v>
      </c>
      <c r="AD198" s="0" t="n">
        <v>1588451611</v>
      </c>
    </row>
    <row r="199" customFormat="false" ht="12.8" hidden="false" customHeight="false" outlineLevel="0" collapsed="false">
      <c r="A199" s="0" t="s">
        <v>484</v>
      </c>
      <c r="C199" s="0" t="s">
        <v>79</v>
      </c>
      <c r="E199" s="0" t="s">
        <v>418</v>
      </c>
      <c r="F199" s="0" t="s">
        <v>419</v>
      </c>
      <c r="H199" s="0" t="n">
        <v>1610</v>
      </c>
      <c r="I199" s="0" t="s">
        <v>482</v>
      </c>
      <c r="J199" s="0" t="s">
        <v>36</v>
      </c>
      <c r="K199" s="0" t="s">
        <v>36</v>
      </c>
      <c r="R199" s="0" t="s">
        <v>51</v>
      </c>
      <c r="S199" s="0" t="s">
        <v>119</v>
      </c>
      <c r="T199" s="0" t="n">
        <v>2</v>
      </c>
      <c r="U199" s="0" t="s">
        <v>483</v>
      </c>
      <c r="V199" s="0" t="s">
        <v>423</v>
      </c>
      <c r="Y199" s="0" t="str">
        <f aca="false">HYPERLINK("http://lutemusic.org/facsimiles/DowlandR/A_Musicall_Banquet_1610/i2v.png")</f>
        <v>http://lutemusic.org/facsimiles/DowlandR/A_Musicall_Banquet_1610/i2v.png</v>
      </c>
      <c r="Z199" s="0" t="str">
        <f aca="false">HYPERLINK("http://lutemusic.org/composers/Anon/songs/vestros_oios_tienen/vestros_oios_tienen_B.ft3")</f>
        <v>http://lutemusic.org/composers/Anon/songs/vestros_oios_tienen/vestros_oios_tienen_B.ft3</v>
      </c>
      <c r="AA199" s="0" t="str">
        <f aca="false">HYPERLINK("http://lutemusic.org/composers/Anon/songs/vestros_oios_tienen/pdf/vestros_oios_tienen_B.pdf")</f>
        <v>http://lutemusic.org/composers/Anon/songs/vestros_oios_tienen/pdf/vestros_oios_tienen_B.pdf</v>
      </c>
      <c r="AB199" s="0" t="str">
        <f aca="false">HYPERLINK("http://lutemusic.org/composers/Anon/songs/vestros_oios_tienen/midi/vestros_oios_tienen_B.mid")</f>
        <v>http://lutemusic.org/composers/Anon/songs/vestros_oios_tienen/midi/vestros_oios_tienen_B.mid</v>
      </c>
      <c r="AC199" s="0" t="n">
        <v>1573937406</v>
      </c>
      <c r="AD199" s="0" t="n">
        <v>1588451611</v>
      </c>
    </row>
    <row r="200" customFormat="false" ht="12.8" hidden="false" customHeight="false" outlineLevel="0" collapsed="false">
      <c r="A200" s="0" t="s">
        <v>484</v>
      </c>
      <c r="C200" s="0" t="s">
        <v>79</v>
      </c>
      <c r="E200" s="0" t="s">
        <v>418</v>
      </c>
      <c r="F200" s="0" t="s">
        <v>419</v>
      </c>
      <c r="H200" s="0" t="n">
        <v>1610</v>
      </c>
      <c r="I200" s="0" t="s">
        <v>482</v>
      </c>
      <c r="J200" s="0" t="s">
        <v>36</v>
      </c>
      <c r="K200" s="0" t="s">
        <v>36</v>
      </c>
      <c r="R200" s="0" t="s">
        <v>51</v>
      </c>
      <c r="S200" s="0" t="s">
        <v>119</v>
      </c>
      <c r="T200" s="0" t="n">
        <v>2</v>
      </c>
      <c r="U200" s="0" t="s">
        <v>483</v>
      </c>
      <c r="V200" s="0" t="s">
        <v>40</v>
      </c>
      <c r="Y200" s="0" t="str">
        <f aca="false">HYPERLINK("http://lutemusic.org/facsimiles/DowlandR/A_Musicall_Banquet_1610/i2v.png")</f>
        <v>http://lutemusic.org/facsimiles/DowlandR/A_Musicall_Banquet_1610/i2v.png</v>
      </c>
      <c r="Z200" s="0" t="str">
        <f aca="false">HYPERLINK("http://lutemusic.org/composers/Anon/songs/vestros_oios_tienen/vestros_oios_tienen_S.ft3")</f>
        <v>http://lutemusic.org/composers/Anon/songs/vestros_oios_tienen/vestros_oios_tienen_S.ft3</v>
      </c>
      <c r="AA200" s="0" t="str">
        <f aca="false">HYPERLINK("http://lutemusic.org/composers/Anon/songs/vestros_oios_tienen/pdf/vestros_oios_tienen_S.pdf")</f>
        <v>http://lutemusic.org/composers/Anon/songs/vestros_oios_tienen/pdf/vestros_oios_tienen_S.pdf</v>
      </c>
      <c r="AB200" s="0" t="str">
        <f aca="false">HYPERLINK("http://lutemusic.org/composers/Anon/songs/vestros_oios_tienen/midi/vestros_oios_tienen_S.mid")</f>
        <v>http://lutemusic.org/composers/Anon/songs/vestros_oios_tienen/midi/vestros_oios_tienen_S.mid</v>
      </c>
      <c r="AC200" s="0" t="n">
        <v>1573937406</v>
      </c>
      <c r="AD200" s="0" t="n">
        <v>1588451611</v>
      </c>
    </row>
    <row r="201" customFormat="false" ht="12.8" hidden="false" customHeight="false" outlineLevel="0" collapsed="false">
      <c r="A201" s="0" t="s">
        <v>484</v>
      </c>
      <c r="C201" s="0" t="s">
        <v>79</v>
      </c>
      <c r="E201" s="0" t="s">
        <v>418</v>
      </c>
      <c r="F201" s="0" t="s">
        <v>419</v>
      </c>
      <c r="H201" s="0" t="n">
        <v>1610</v>
      </c>
      <c r="I201" s="0" t="s">
        <v>482</v>
      </c>
      <c r="J201" s="0" t="s">
        <v>36</v>
      </c>
      <c r="K201" s="0" t="s">
        <v>36</v>
      </c>
      <c r="R201" s="0" t="s">
        <v>51</v>
      </c>
      <c r="S201" s="0" t="s">
        <v>119</v>
      </c>
      <c r="T201" s="0" t="n">
        <v>2</v>
      </c>
      <c r="U201" s="0" t="s">
        <v>483</v>
      </c>
      <c r="V201" s="0" t="s">
        <v>53</v>
      </c>
      <c r="Y201" s="0" t="str">
        <f aca="false">HYPERLINK("http://lutemusic.org/facsimiles/DowlandR/A_Musicall_Banquet_1610/i2v.png")</f>
        <v>http://lutemusic.org/facsimiles/DowlandR/A_Musicall_Banquet_1610/i2v.png</v>
      </c>
      <c r="Z201" s="0" t="str">
        <f aca="false">HYPERLINK("http://lutemusic.org/composers/Anon/songs/vestros_oios_tienen/vestros_oios_tienen_T.ft3")</f>
        <v>http://lutemusic.org/composers/Anon/songs/vestros_oios_tienen/vestros_oios_tienen_T.ft3</v>
      </c>
      <c r="AA201" s="0" t="str">
        <f aca="false">HYPERLINK("http://lutemusic.org/composers/Anon/songs/vestros_oios_tienen/pdf/vestros_oios_tienen_T.pdf")</f>
        <v>http://lutemusic.org/composers/Anon/songs/vestros_oios_tienen/pdf/vestros_oios_tienen_T.pdf</v>
      </c>
      <c r="AB201" s="0" t="str">
        <f aca="false">HYPERLINK("http://lutemusic.org/composers/Anon/songs/vestros_oios_tienen/midi/vestros_oios_tienen_T.mid")</f>
        <v>http://lutemusic.org/composers/Anon/songs/vestros_oios_tienen/midi/vestros_oios_tienen_T.mid</v>
      </c>
      <c r="AC201" s="0" t="n">
        <v>1573937406</v>
      </c>
      <c r="AD201" s="0" t="n">
        <v>1588451611</v>
      </c>
    </row>
    <row r="202" customFormat="false" ht="12.8" hidden="false" customHeight="false" outlineLevel="0" collapsed="false">
      <c r="A202" s="0" t="s">
        <v>485</v>
      </c>
      <c r="C202" s="0" t="s">
        <v>79</v>
      </c>
      <c r="E202" s="0" t="s">
        <v>486</v>
      </c>
      <c r="F202" s="0" t="s">
        <v>487</v>
      </c>
      <c r="H202" s="0" t="n">
        <v>1370</v>
      </c>
      <c r="J202" s="0" t="s">
        <v>36</v>
      </c>
      <c r="K202" s="0" t="s">
        <v>36</v>
      </c>
      <c r="L202" s="0" t="s">
        <v>36</v>
      </c>
      <c r="P202" s="0" t="s">
        <v>485</v>
      </c>
      <c r="R202" s="0" t="s">
        <v>83</v>
      </c>
      <c r="S202" s="0" t="s">
        <v>62</v>
      </c>
      <c r="T202" s="0" t="n">
        <v>2</v>
      </c>
      <c r="U202" s="0" t="s">
        <v>63</v>
      </c>
      <c r="Z202" s="0" t="str">
        <f aca="false">HYPERLINK("http://lutemusic.org/composers/Anon/stella_spendens/stella_splendens.ft3")</f>
        <v>http://lutemusic.org/composers/Anon/stella_spendens/stella_splendens.ft3</v>
      </c>
      <c r="AA202" s="0" t="str">
        <f aca="false">HYPERLINK("http://lutemusic.org/composers/Anon/stella_spendens/pdf/stella_splendens.pdf")</f>
        <v>http://lutemusic.org/composers/Anon/stella_spendens/pdf/stella_splendens.pdf</v>
      </c>
      <c r="AB202" s="0" t="str">
        <f aca="false">HYPERLINK("http://lutemusic.org/composers/Anon/stella_spendens/midi/stella_splendens.mid")</f>
        <v>http://lutemusic.org/composers/Anon/stella_spendens/midi/stella_splendens.mid</v>
      </c>
      <c r="AC202" s="0" t="n">
        <v>1573937406</v>
      </c>
      <c r="AD202" s="0" t="n">
        <v>1586042061</v>
      </c>
    </row>
    <row r="203" customFormat="false" ht="12.8" hidden="false" customHeight="false" outlineLevel="0" collapsed="false">
      <c r="A203" s="0" t="s">
        <v>485</v>
      </c>
      <c r="C203" s="0" t="s">
        <v>79</v>
      </c>
      <c r="E203" s="0" t="s">
        <v>486</v>
      </c>
      <c r="F203" s="0" t="s">
        <v>487</v>
      </c>
      <c r="H203" s="0" t="n">
        <v>1370</v>
      </c>
      <c r="J203" s="0" t="s">
        <v>36</v>
      </c>
      <c r="K203" s="0" t="s">
        <v>36</v>
      </c>
      <c r="L203" s="0" t="s">
        <v>36</v>
      </c>
      <c r="P203" s="0" t="s">
        <v>485</v>
      </c>
      <c r="R203" s="0" t="s">
        <v>83</v>
      </c>
      <c r="S203" s="0" t="s">
        <v>175</v>
      </c>
      <c r="T203" s="0" t="n">
        <v>2</v>
      </c>
      <c r="U203" s="0" t="s">
        <v>63</v>
      </c>
      <c r="Z203" s="0" t="str">
        <f aca="false">HYPERLINK("http://lutemusic.org/composers/Anon/stella_spendens/stella_splendens_E.ft3")</f>
        <v>http://lutemusic.org/composers/Anon/stella_spendens/stella_splendens_E.ft3</v>
      </c>
      <c r="AA203" s="0" t="str">
        <f aca="false">HYPERLINK("http://lutemusic.org/composers/Anon/stella_spendens/pdf/stella_splendens_E.pdf")</f>
        <v>http://lutemusic.org/composers/Anon/stella_spendens/pdf/stella_splendens_E.pdf</v>
      </c>
      <c r="AB203" s="0" t="str">
        <f aca="false">HYPERLINK("http://lutemusic.org/composers/Anon/stella_spendens/midi/stella_splendens_E.mid")</f>
        <v>http://lutemusic.org/composers/Anon/stella_spendens/midi/stella_splendens_E.mid</v>
      </c>
      <c r="AC203" s="0" t="n">
        <v>1573937406</v>
      </c>
      <c r="AD203" s="0" t="n">
        <v>1586042061</v>
      </c>
    </row>
    <row r="204" customFormat="false" ht="12.8" hidden="false" customHeight="false" outlineLevel="0" collapsed="false">
      <c r="A204" s="0" t="s">
        <v>488</v>
      </c>
      <c r="C204" s="0" t="s">
        <v>79</v>
      </c>
      <c r="E204" s="0" t="s">
        <v>154</v>
      </c>
      <c r="F204" s="0" t="s">
        <v>69</v>
      </c>
      <c r="H204" s="0" t="n">
        <v>1550</v>
      </c>
      <c r="I204" s="0" t="s">
        <v>489</v>
      </c>
      <c r="J204" s="0" t="s">
        <v>36</v>
      </c>
      <c r="K204" s="0" t="s">
        <v>36</v>
      </c>
      <c r="P204" s="0" t="s">
        <v>488</v>
      </c>
      <c r="R204" s="0" t="s">
        <v>490</v>
      </c>
      <c r="S204" s="0" t="s">
        <v>38</v>
      </c>
      <c r="T204" s="0" t="n">
        <v>3</v>
      </c>
      <c r="U204" s="0" t="s">
        <v>63</v>
      </c>
      <c r="V204" s="0" t="s">
        <v>63</v>
      </c>
      <c r="Z204" s="0" t="str">
        <f aca="false">HYPERLINK("http://lutemusic.org/composers/Anon/tedesca_01/tedesca1.ft3")</f>
        <v>http://lutemusic.org/composers/Anon/tedesca_01/tedesca1.ft3</v>
      </c>
      <c r="AA204" s="0" t="str">
        <f aca="false">HYPERLINK("http://lutemusic.org/composers/Anon/tedesca_01/pdf/tedesca1.pdf")</f>
        <v>http://lutemusic.org/composers/Anon/tedesca_01/pdf/tedesca1.pdf</v>
      </c>
      <c r="AB204" s="0" t="str">
        <f aca="false">HYPERLINK("http://lutemusic.org/composers/Anon/tedesca_01/midi/tedesca1.mid")</f>
        <v>http://lutemusic.org/composers/Anon/tedesca_01/midi/tedesca1.mid</v>
      </c>
      <c r="AC204" s="0" t="n">
        <v>1573937406</v>
      </c>
      <c r="AD204" s="0" t="n">
        <v>1586042061</v>
      </c>
    </row>
    <row r="205" customFormat="false" ht="12.8" hidden="false" customHeight="false" outlineLevel="0" collapsed="false">
      <c r="A205" s="0" t="s">
        <v>491</v>
      </c>
      <c r="B205" s="0" t="s">
        <v>492</v>
      </c>
      <c r="C205" s="0" t="s">
        <v>79</v>
      </c>
      <c r="E205" s="0" t="s">
        <v>493</v>
      </c>
      <c r="F205" s="0" t="s">
        <v>494</v>
      </c>
      <c r="H205" s="0" t="n">
        <v>1720</v>
      </c>
      <c r="I205" s="0" t="s">
        <v>306</v>
      </c>
      <c r="J205" s="0" t="s">
        <v>36</v>
      </c>
      <c r="K205" s="0" t="s">
        <v>495</v>
      </c>
      <c r="Q205" s="0" t="s">
        <v>492</v>
      </c>
      <c r="R205" s="0" t="s">
        <v>496</v>
      </c>
      <c r="S205" s="0" t="s">
        <v>62</v>
      </c>
      <c r="T205" s="0" t="n">
        <v>5</v>
      </c>
      <c r="U205" s="0" t="s">
        <v>85</v>
      </c>
      <c r="Z205" s="0" t="str">
        <f aca="false">HYPERLINK("http://lutemusic.org/composers/Anon/vienna_18761/suite_in_D_minor/01_Air.ft3")</f>
        <v>http://lutemusic.org/composers/Anon/vienna_18761/suite_in_D_minor/01_Air.ft3</v>
      </c>
      <c r="AA205" s="0" t="str">
        <f aca="false">HYPERLINK("http://lutemusic.org/composers/Anon/vienna_18761/suite_in_D_minor/pdf/01_Air.pdf")</f>
        <v>http://lutemusic.org/composers/Anon/vienna_18761/suite_in_D_minor/pdf/01_Air.pdf</v>
      </c>
      <c r="AB205" s="0" t="str">
        <f aca="false">HYPERLINK("http://lutemusic.org/composers/Anon/vienna_18761/suite_in_D_minor/midi/01_Air.mid")</f>
        <v>http://lutemusic.org/composers/Anon/vienna_18761/suite_in_D_minor/midi/01_Air.mid</v>
      </c>
      <c r="AC205" s="0" t="n">
        <v>1573937406</v>
      </c>
      <c r="AD205" s="0" t="n">
        <v>1586042061</v>
      </c>
    </row>
    <row r="206" customFormat="false" ht="12.8" hidden="false" customHeight="false" outlineLevel="0" collapsed="false">
      <c r="A206" s="0" t="s">
        <v>491</v>
      </c>
      <c r="B206" s="0" t="s">
        <v>497</v>
      </c>
      <c r="C206" s="0" t="s">
        <v>79</v>
      </c>
      <c r="E206" s="0" t="s">
        <v>493</v>
      </c>
      <c r="F206" s="0" t="s">
        <v>494</v>
      </c>
      <c r="H206" s="0" t="n">
        <v>1720</v>
      </c>
      <c r="I206" s="0" t="s">
        <v>306</v>
      </c>
      <c r="J206" s="0" t="s">
        <v>36</v>
      </c>
      <c r="K206" s="0" t="s">
        <v>495</v>
      </c>
      <c r="Q206" s="0" t="s">
        <v>498</v>
      </c>
      <c r="R206" s="0" t="s">
        <v>499</v>
      </c>
      <c r="S206" s="0" t="s">
        <v>62</v>
      </c>
      <c r="T206" s="0" t="n">
        <v>5</v>
      </c>
      <c r="U206" s="0" t="s">
        <v>85</v>
      </c>
      <c r="Z206" s="0" t="str">
        <f aca="false">HYPERLINK("http://lutemusic.org/composers/Anon/vienna_18761/suite_in_D_minor/02_Minuette.ft3")</f>
        <v>http://lutemusic.org/composers/Anon/vienna_18761/suite_in_D_minor/02_Minuette.ft3</v>
      </c>
      <c r="AA206" s="0" t="str">
        <f aca="false">HYPERLINK("http://lutemusic.org/composers/Anon/vienna_18761/suite_in_D_minor/pdf/02_Minuette.pdf")</f>
        <v>http://lutemusic.org/composers/Anon/vienna_18761/suite_in_D_minor/pdf/02_Minuette.pdf</v>
      </c>
      <c r="AB206" s="0" t="str">
        <f aca="false">HYPERLINK("http://lutemusic.org/composers/Anon/vienna_18761/suite_in_D_minor/midi/02_Minuette.mid")</f>
        <v>http://lutemusic.org/composers/Anon/vienna_18761/suite_in_D_minor/midi/02_Minuette.mid</v>
      </c>
      <c r="AC206" s="0" t="n">
        <v>1573937406</v>
      </c>
      <c r="AD206" s="0" t="n">
        <v>1586042061</v>
      </c>
    </row>
    <row r="207" customFormat="false" ht="12.8" hidden="false" customHeight="false" outlineLevel="0" collapsed="false">
      <c r="A207" s="0" t="s">
        <v>491</v>
      </c>
      <c r="B207" s="0" t="s">
        <v>500</v>
      </c>
      <c r="C207" s="0" t="s">
        <v>79</v>
      </c>
      <c r="E207" s="0" t="s">
        <v>493</v>
      </c>
      <c r="F207" s="0" t="s">
        <v>494</v>
      </c>
      <c r="H207" s="0" t="n">
        <v>1720</v>
      </c>
      <c r="I207" s="0" t="s">
        <v>306</v>
      </c>
      <c r="J207" s="0" t="s">
        <v>36</v>
      </c>
      <c r="K207" s="0" t="s">
        <v>495</v>
      </c>
      <c r="Q207" s="0" t="s">
        <v>501</v>
      </c>
      <c r="R207" s="0" t="s">
        <v>499</v>
      </c>
      <c r="S207" s="0" t="s">
        <v>62</v>
      </c>
      <c r="T207" s="0" t="n">
        <v>5</v>
      </c>
      <c r="U207" s="0" t="s">
        <v>85</v>
      </c>
      <c r="Z207" s="0" t="str">
        <f aca="false">HYPERLINK("http://lutemusic.org/composers/Anon/vienna_18761/suite_in_D_minor/03_Minuette.ft3")</f>
        <v>http://lutemusic.org/composers/Anon/vienna_18761/suite_in_D_minor/03_Minuette.ft3</v>
      </c>
      <c r="AA207" s="0" t="str">
        <f aca="false">HYPERLINK("http://lutemusic.org/composers/Anon/vienna_18761/suite_in_D_minor/pdf/03_Minuette.pdf")</f>
        <v>http://lutemusic.org/composers/Anon/vienna_18761/suite_in_D_minor/pdf/03_Minuette.pdf</v>
      </c>
      <c r="AB207" s="0" t="str">
        <f aca="false">HYPERLINK("http://lutemusic.org/composers/Anon/vienna_18761/suite_in_D_minor/midi/03_Minuette.mid")</f>
        <v>http://lutemusic.org/composers/Anon/vienna_18761/suite_in_D_minor/midi/03_Minuette.mid</v>
      </c>
      <c r="AC207" s="0" t="n">
        <v>1573937406</v>
      </c>
      <c r="AD207" s="0" t="n">
        <v>1586042061</v>
      </c>
    </row>
    <row r="208" customFormat="false" ht="12.8" hidden="false" customHeight="false" outlineLevel="0" collapsed="false">
      <c r="A208" s="0" t="s">
        <v>491</v>
      </c>
      <c r="B208" s="0" t="s">
        <v>502</v>
      </c>
      <c r="C208" s="0" t="s">
        <v>79</v>
      </c>
      <c r="E208" s="0" t="s">
        <v>493</v>
      </c>
      <c r="F208" s="0" t="s">
        <v>494</v>
      </c>
      <c r="H208" s="0" t="n">
        <v>1720</v>
      </c>
      <c r="I208" s="0" t="s">
        <v>306</v>
      </c>
      <c r="J208" s="0" t="s">
        <v>36</v>
      </c>
      <c r="K208" s="0" t="s">
        <v>495</v>
      </c>
      <c r="Q208" s="0" t="s">
        <v>502</v>
      </c>
      <c r="R208" s="0" t="s">
        <v>499</v>
      </c>
      <c r="S208" s="0" t="s">
        <v>62</v>
      </c>
      <c r="T208" s="0" t="n">
        <v>5</v>
      </c>
      <c r="U208" s="0" t="s">
        <v>85</v>
      </c>
      <c r="Z208" s="0" t="str">
        <f aca="false">HYPERLINK("http://lutemusic.org/composers/Anon/vienna_18761/suite_in_D_minor/04_Minuette.ft3")</f>
        <v>http://lutemusic.org/composers/Anon/vienna_18761/suite_in_D_minor/04_Minuette.ft3</v>
      </c>
      <c r="AA208" s="0" t="str">
        <f aca="false">HYPERLINK("http://lutemusic.org/composers/Anon/vienna_18761/suite_in_D_minor/pdf/04_Minuette.pdf")</f>
        <v>http://lutemusic.org/composers/Anon/vienna_18761/suite_in_D_minor/pdf/04_Minuette.pdf</v>
      </c>
      <c r="AB208" s="0" t="str">
        <f aca="false">HYPERLINK("http://lutemusic.org/composers/Anon/vienna_18761/suite_in_D_minor/midi/04_Minuette.mid")</f>
        <v>http://lutemusic.org/composers/Anon/vienna_18761/suite_in_D_minor/midi/04_Minuette.mid</v>
      </c>
      <c r="AC208" s="0" t="n">
        <v>1573937406</v>
      </c>
      <c r="AD208" s="0" t="n">
        <v>1586042061</v>
      </c>
    </row>
    <row r="209" customFormat="false" ht="12.8" hidden="false" customHeight="false" outlineLevel="0" collapsed="false">
      <c r="A209" s="0" t="s">
        <v>376</v>
      </c>
      <c r="C209" s="0" t="s">
        <v>79</v>
      </c>
      <c r="E209" s="0" t="s">
        <v>503</v>
      </c>
      <c r="F209" s="0" t="s">
        <v>504</v>
      </c>
      <c r="H209" s="0" t="n">
        <v>1500</v>
      </c>
      <c r="I209" s="0" t="s">
        <v>505</v>
      </c>
      <c r="J209" s="0" t="s">
        <v>36</v>
      </c>
      <c r="K209" s="0" t="s">
        <v>36</v>
      </c>
      <c r="L209" s="0" t="s">
        <v>506</v>
      </c>
      <c r="P209" s="0" t="s">
        <v>376</v>
      </c>
      <c r="R209" s="0" t="s">
        <v>507</v>
      </c>
      <c r="S209" s="0" t="s">
        <v>38</v>
      </c>
      <c r="T209" s="0" t="n">
        <v>2</v>
      </c>
      <c r="U209" s="0" t="s">
        <v>63</v>
      </c>
      <c r="Z209" s="0" t="str">
        <f aca="false">HYPERLINK("http://lutemusic.org/composers/Anon/VMD/Vmd27_rec01.ft3")</f>
        <v>http://lutemusic.org/composers/Anon/VMD/Vmd27_rec01.ft3</v>
      </c>
      <c r="AA209" s="0" t="str">
        <f aca="false">HYPERLINK("http://lutemusic.org/composers/Anon/VMD/pdf/Vmd27_rec01.pdf")</f>
        <v>http://lutemusic.org/composers/Anon/VMD/pdf/Vmd27_rec01.pdf</v>
      </c>
      <c r="AB209" s="0" t="str">
        <f aca="false">HYPERLINK("http://lutemusic.org/composers/Anon/VMD/midi/Vmd27_rec01.mid")</f>
        <v>http://lutemusic.org/composers/Anon/VMD/midi/Vmd27_rec01.mid</v>
      </c>
      <c r="AC209" s="0" t="n">
        <v>1573937405</v>
      </c>
      <c r="AD209" s="0" t="n">
        <v>1586042061</v>
      </c>
    </row>
    <row r="210" customFormat="false" ht="12.8" hidden="false" customHeight="false" outlineLevel="0" collapsed="false">
      <c r="A210" s="0" t="s">
        <v>376</v>
      </c>
      <c r="C210" s="0" t="s">
        <v>79</v>
      </c>
      <c r="E210" s="0" t="s">
        <v>503</v>
      </c>
      <c r="F210" s="0" t="s">
        <v>504</v>
      </c>
      <c r="H210" s="0" t="n">
        <v>1500</v>
      </c>
      <c r="I210" s="0" t="s">
        <v>508</v>
      </c>
      <c r="J210" s="0" t="s">
        <v>36</v>
      </c>
      <c r="K210" s="0" t="s">
        <v>36</v>
      </c>
      <c r="L210" s="0" t="s">
        <v>506</v>
      </c>
      <c r="P210" s="0" t="s">
        <v>376</v>
      </c>
      <c r="R210" s="0" t="s">
        <v>507</v>
      </c>
      <c r="S210" s="0" t="s">
        <v>424</v>
      </c>
      <c r="T210" s="0" t="n">
        <v>3</v>
      </c>
      <c r="U210" s="0" t="s">
        <v>63</v>
      </c>
      <c r="Z210" s="0" t="str">
        <f aca="false">HYPERLINK("http://lutemusic.org/composers/Anon/VMD/Vmd27_rec02.ft3")</f>
        <v>http://lutemusic.org/composers/Anon/VMD/Vmd27_rec02.ft3</v>
      </c>
      <c r="AA210" s="0" t="str">
        <f aca="false">HYPERLINK("http://lutemusic.org/composers/Anon/VMD/pdf/Vmd27_rec02.pdf")</f>
        <v>http://lutemusic.org/composers/Anon/VMD/pdf/Vmd27_rec02.pdf</v>
      </c>
      <c r="AB210" s="0" t="str">
        <f aca="false">HYPERLINK("http://lutemusic.org/composers/Anon/VMD/midi/Vmd27_rec02.mid")</f>
        <v>http://lutemusic.org/composers/Anon/VMD/midi/Vmd27_rec02.mid</v>
      </c>
      <c r="AC210" s="0" t="n">
        <v>1573937405</v>
      </c>
      <c r="AD210" s="0" t="n">
        <v>1586107255</v>
      </c>
    </row>
    <row r="211" customFormat="false" ht="12.8" hidden="false" customHeight="false" outlineLevel="0" collapsed="false">
      <c r="A211" s="0" t="s">
        <v>509</v>
      </c>
      <c r="C211" s="0" t="s">
        <v>79</v>
      </c>
      <c r="E211" s="0" t="s">
        <v>503</v>
      </c>
      <c r="F211" s="0" t="s">
        <v>504</v>
      </c>
      <c r="H211" s="0" t="n">
        <v>1500</v>
      </c>
      <c r="I211" s="0" t="s">
        <v>510</v>
      </c>
      <c r="J211" s="0" t="s">
        <v>36</v>
      </c>
      <c r="K211" s="0" t="s">
        <v>36</v>
      </c>
      <c r="L211" s="0" t="s">
        <v>506</v>
      </c>
      <c r="P211" s="0" t="s">
        <v>509</v>
      </c>
      <c r="R211" s="0" t="s">
        <v>511</v>
      </c>
      <c r="S211" s="0" t="s">
        <v>119</v>
      </c>
      <c r="T211" s="0" t="n">
        <v>3</v>
      </c>
      <c r="U211" s="0" t="s">
        <v>63</v>
      </c>
      <c r="Z211" s="0" t="str">
        <f aca="false">HYPERLINK("http://lutemusic.org/composers/Anon/VMD/Vmd27_spagna.ft3")</f>
        <v>http://lutemusic.org/composers/Anon/VMD/Vmd27_spagna.ft3</v>
      </c>
      <c r="AA211" s="0" t="str">
        <f aca="false">HYPERLINK("http://lutemusic.org/composers/Anon/VMD/pdf/Vmd27_spagna.pdf")</f>
        <v>http://lutemusic.org/composers/Anon/VMD/pdf/Vmd27_spagna.pdf</v>
      </c>
      <c r="AB211" s="0" t="str">
        <f aca="false">HYPERLINK("http://lutemusic.org/composers/Anon/VMD/midi/Vmd27_spagna.mid")</f>
        <v>http://lutemusic.org/composers/Anon/VMD/midi/Vmd27_spagna.mid</v>
      </c>
      <c r="AC211" s="0" t="n">
        <v>1573937405</v>
      </c>
      <c r="AD211" s="0" t="n">
        <v>1586042061</v>
      </c>
    </row>
    <row r="212" customFormat="false" ht="12.8" hidden="false" customHeight="false" outlineLevel="0" collapsed="false">
      <c r="A212" s="0" t="s">
        <v>512</v>
      </c>
      <c r="C212" s="0" t="s">
        <v>79</v>
      </c>
      <c r="E212" s="0" t="s">
        <v>80</v>
      </c>
      <c r="F212" s="0" t="s">
        <v>81</v>
      </c>
      <c r="H212" s="0" t="n">
        <v>1690</v>
      </c>
      <c r="I212" s="0" t="s">
        <v>513</v>
      </c>
      <c r="J212" s="0" t="s">
        <v>36</v>
      </c>
      <c r="K212" s="0" t="s">
        <v>36</v>
      </c>
      <c r="P212" s="0" t="s">
        <v>512</v>
      </c>
      <c r="R212" s="0" t="s">
        <v>83</v>
      </c>
      <c r="S212" s="0" t="s">
        <v>38</v>
      </c>
      <c r="T212" s="0" t="n">
        <v>3</v>
      </c>
      <c r="U212" s="0" t="s">
        <v>85</v>
      </c>
      <c r="Z212" s="0" t="str">
        <f aca="false">HYPERLINK("http://lutemusic.org/composers/Anon/vocal_entab/127_anon_what_if_a_day.ft3")</f>
        <v>http://lutemusic.org/composers/Anon/vocal_entab/127_anon_what_if_a_day.ft3</v>
      </c>
      <c r="AA212" s="0" t="str">
        <f aca="false">HYPERLINK("http://lutemusic.org/composers/Anon/vocal_entab/pdf/127_anon_what_if_a_day.pdf")</f>
        <v>http://lutemusic.org/composers/Anon/vocal_entab/pdf/127_anon_what_if_a_day.pdf</v>
      </c>
      <c r="AB212" s="0" t="str">
        <f aca="false">HYPERLINK("http://lutemusic.org/composers/Anon/vocal_entab/midi/127_anon_what_if_a_day.mid")</f>
        <v>http://lutemusic.org/composers/Anon/vocal_entab/midi/127_anon_what_if_a_day.mid</v>
      </c>
      <c r="AC212" s="0" t="n">
        <v>1573937406</v>
      </c>
      <c r="AD212" s="0" t="n">
        <v>1586042061</v>
      </c>
    </row>
    <row r="213" customFormat="false" ht="12.8" hidden="false" customHeight="false" outlineLevel="0" collapsed="false">
      <c r="A213" s="0" t="s">
        <v>514</v>
      </c>
      <c r="C213" s="0" t="s">
        <v>79</v>
      </c>
      <c r="E213" s="0" t="s">
        <v>200</v>
      </c>
      <c r="F213" s="0" t="s">
        <v>201</v>
      </c>
      <c r="H213" s="0" t="n">
        <v>1580</v>
      </c>
      <c r="I213" s="0" t="s">
        <v>515</v>
      </c>
      <c r="J213" s="0" t="s">
        <v>36</v>
      </c>
      <c r="K213" s="0" t="s">
        <v>36</v>
      </c>
      <c r="P213" s="0" t="s">
        <v>514</v>
      </c>
      <c r="R213" s="0" t="s">
        <v>83</v>
      </c>
      <c r="S213" s="0" t="s">
        <v>66</v>
      </c>
      <c r="T213" s="0" t="n">
        <v>2</v>
      </c>
      <c r="U213" s="0" t="s">
        <v>63</v>
      </c>
      <c r="Z213" s="0" t="str">
        <f aca="false">HYPERLINK("http://lutemusic.org/composers/Anon/vocal_entab/dove_son_quei_fieri_occhi.ft3")</f>
        <v>http://lutemusic.org/composers/Anon/vocal_entab/dove_son_quei_fieri_occhi.ft3</v>
      </c>
      <c r="AA213" s="0" t="str">
        <f aca="false">HYPERLINK("http://lutemusic.org/composers/Anon/vocal_entab/pdf/dove_son_quei_fieri_occhi.pdf")</f>
        <v>http://lutemusic.org/composers/Anon/vocal_entab/pdf/dove_son_quei_fieri_occhi.pdf</v>
      </c>
      <c r="AB213" s="0" t="str">
        <f aca="false">HYPERLINK("http://lutemusic.org/composers/Anon/vocal_entab/midi/dove_son_quei_fieri_occhi.mid")</f>
        <v>http://lutemusic.org/composers/Anon/vocal_entab/midi/dove_son_quei_fieri_occhi.mid</v>
      </c>
      <c r="AC213" s="0" t="n">
        <v>1573937406</v>
      </c>
      <c r="AD213" s="0" t="n">
        <v>1586042061</v>
      </c>
    </row>
    <row r="214" customFormat="false" ht="12.8" hidden="false" customHeight="false" outlineLevel="0" collapsed="false">
      <c r="A214" s="0" t="s">
        <v>516</v>
      </c>
      <c r="C214" s="0" t="s">
        <v>79</v>
      </c>
      <c r="E214" s="0" t="s">
        <v>154</v>
      </c>
      <c r="F214" s="0" t="s">
        <v>69</v>
      </c>
      <c r="H214" s="0" t="n">
        <v>1610</v>
      </c>
      <c r="I214" s="0" t="s">
        <v>265</v>
      </c>
      <c r="J214" s="0" t="s">
        <v>36</v>
      </c>
      <c r="K214" s="0" t="s">
        <v>36</v>
      </c>
      <c r="L214" s="0" t="s">
        <v>36</v>
      </c>
      <c r="P214" s="0" t="s">
        <v>516</v>
      </c>
      <c r="R214" s="0" t="s">
        <v>83</v>
      </c>
      <c r="S214" s="0" t="s">
        <v>49</v>
      </c>
      <c r="T214" s="0" t="n">
        <v>3</v>
      </c>
      <c r="U214" s="0" t="s">
        <v>53</v>
      </c>
      <c r="Z214" s="0" t="str">
        <f aca="false">HYPERLINK("http://lutemusic.org/composers/Anon/vocal_entab/go_from_my_window_2.ft3")</f>
        <v>http://lutemusic.org/composers/Anon/vocal_entab/go_from_my_window_2.ft3</v>
      </c>
      <c r="AA214" s="0" t="str">
        <f aca="false">HYPERLINK("http://lutemusic.org/composers/Anon/vocal_entab/pdf/go_from_my_window_2.pdf")</f>
        <v>http://lutemusic.org/composers/Anon/vocal_entab/pdf/go_from_my_window_2.pdf</v>
      </c>
      <c r="AB214" s="0" t="str">
        <f aca="false">HYPERLINK("http://lutemusic.org/composers/Anon/vocal_entab/midi/go_from_my_window_2.mid")</f>
        <v>http://lutemusic.org/composers/Anon/vocal_entab/midi/go_from_my_window_2.mid</v>
      </c>
      <c r="AC214" s="0" t="n">
        <v>1573937406</v>
      </c>
      <c r="AD214" s="0" t="n">
        <v>1586042061</v>
      </c>
    </row>
    <row r="215" customFormat="false" ht="12.8" hidden="false" customHeight="false" outlineLevel="0" collapsed="false">
      <c r="A215" s="0" t="s">
        <v>516</v>
      </c>
      <c r="C215" s="0" t="s">
        <v>79</v>
      </c>
      <c r="E215" s="0" t="s">
        <v>154</v>
      </c>
      <c r="F215" s="0" t="s">
        <v>69</v>
      </c>
      <c r="H215" s="0" t="n">
        <v>1590</v>
      </c>
      <c r="I215" s="0" t="s">
        <v>305</v>
      </c>
      <c r="J215" s="0" t="s">
        <v>36</v>
      </c>
      <c r="K215" s="0" t="s">
        <v>36</v>
      </c>
      <c r="L215" s="0" t="s">
        <v>36</v>
      </c>
      <c r="P215" s="0" t="s">
        <v>516</v>
      </c>
      <c r="R215" s="0" t="s">
        <v>83</v>
      </c>
      <c r="S215" s="0" t="s">
        <v>49</v>
      </c>
      <c r="T215" s="0" t="n">
        <v>1</v>
      </c>
      <c r="U215" s="0" t="s">
        <v>63</v>
      </c>
      <c r="Z215" s="0" t="str">
        <f aca="false">HYPERLINK("http://lutemusic.org/composers/Anon/vocal_entab/go_from_my_window_simple.ft3")</f>
        <v>http://lutemusic.org/composers/Anon/vocal_entab/go_from_my_window_simple.ft3</v>
      </c>
      <c r="AA215" s="0" t="str">
        <f aca="false">HYPERLINK("http://lutemusic.org/composers/Anon/vocal_entab/pdf/go_from_my_window_simple.pdf")</f>
        <v>http://lutemusic.org/composers/Anon/vocal_entab/pdf/go_from_my_window_simple.pdf</v>
      </c>
      <c r="AB215" s="0" t="str">
        <f aca="false">HYPERLINK("http://lutemusic.org/composers/Anon/vocal_entab/midi/go_from_my_window_simple.mid")</f>
        <v>http://lutemusic.org/composers/Anon/vocal_entab/midi/go_from_my_window_simple.mid</v>
      </c>
      <c r="AC215" s="0" t="n">
        <v>1573937406</v>
      </c>
      <c r="AD215" s="0" t="n">
        <v>1590338689</v>
      </c>
    </row>
    <row r="216" customFormat="false" ht="12.8" hidden="false" customHeight="false" outlineLevel="0" collapsed="false">
      <c r="A216" s="0" t="s">
        <v>517</v>
      </c>
      <c r="C216" s="0" t="s">
        <v>79</v>
      </c>
      <c r="E216" s="0" t="s">
        <v>200</v>
      </c>
      <c r="F216" s="0" t="s">
        <v>201</v>
      </c>
      <c r="H216" s="0" t="n">
        <v>1580</v>
      </c>
      <c r="I216" s="0" t="s">
        <v>518</v>
      </c>
      <c r="J216" s="0" t="s">
        <v>36</v>
      </c>
      <c r="K216" s="0" t="s">
        <v>36</v>
      </c>
      <c r="P216" s="0" t="s">
        <v>517</v>
      </c>
      <c r="R216" s="0" t="s">
        <v>83</v>
      </c>
      <c r="S216" s="0" t="s">
        <v>49</v>
      </c>
      <c r="T216" s="0" t="n">
        <v>3</v>
      </c>
      <c r="U216" s="0" t="s">
        <v>63</v>
      </c>
      <c r="Z216" s="0" t="str">
        <f aca="false">HYPERLINK("http://lutemusic.org/composers/Anon/vocal_entab/io_vorrei_pur_fuggir.ft3")</f>
        <v>http://lutemusic.org/composers/Anon/vocal_entab/io_vorrei_pur_fuggir.ft3</v>
      </c>
      <c r="AA216" s="0" t="str">
        <f aca="false">HYPERLINK("http://lutemusic.org/composers/Anon/vocal_entab/pdf/io_vorrei_pur_fuggir.pdf")</f>
        <v>http://lutemusic.org/composers/Anon/vocal_entab/pdf/io_vorrei_pur_fuggir.pdf</v>
      </c>
      <c r="AB216" s="0" t="str">
        <f aca="false">HYPERLINK("http://lutemusic.org/composers/Anon/vocal_entab/midi/io_vorrei_pur_fuggir.mid")</f>
        <v>http://lutemusic.org/composers/Anon/vocal_entab/midi/io_vorrei_pur_fuggir.mid</v>
      </c>
      <c r="AC216" s="0" t="n">
        <v>1573937406</v>
      </c>
      <c r="AD216" s="0" t="n">
        <v>1586042061</v>
      </c>
    </row>
    <row r="217" customFormat="false" ht="12.8" hidden="false" customHeight="false" outlineLevel="0" collapsed="false">
      <c r="A217" s="0" t="s">
        <v>519</v>
      </c>
      <c r="C217" s="0" t="s">
        <v>79</v>
      </c>
      <c r="E217" s="0" t="s">
        <v>154</v>
      </c>
      <c r="F217" s="0" t="s">
        <v>69</v>
      </c>
      <c r="H217" s="0" t="n">
        <v>1475</v>
      </c>
      <c r="I217" s="0" t="s">
        <v>520</v>
      </c>
      <c r="J217" s="0" t="s">
        <v>36</v>
      </c>
      <c r="K217" s="0" t="s">
        <v>521</v>
      </c>
      <c r="L217" s="0" t="s">
        <v>522</v>
      </c>
      <c r="P217" s="0" t="s">
        <v>519</v>
      </c>
      <c r="R217" s="0" t="s">
        <v>83</v>
      </c>
      <c r="S217" s="0" t="s">
        <v>62</v>
      </c>
      <c r="T217" s="0" t="n">
        <v>2</v>
      </c>
      <c r="U217" s="0" t="s">
        <v>523</v>
      </c>
      <c r="Z217" s="0" t="str">
        <f aca="false">HYPERLINK("http://lutemusic.org/composers/Anon/vocal_entab/las_je_ne_puis.ft3")</f>
        <v>http://lutemusic.org/composers/Anon/vocal_entab/las_je_ne_puis.ft3</v>
      </c>
      <c r="AA217" s="0" t="str">
        <f aca="false">HYPERLINK("http://lutemusic.org/composers/Anon/vocal_entab/pdf/las_je_ne_puis.pdf")</f>
        <v>http://lutemusic.org/composers/Anon/vocal_entab/pdf/las_je_ne_puis.pdf</v>
      </c>
      <c r="AB217" s="0" t="str">
        <f aca="false">HYPERLINK("http://lutemusic.org/composers/Anon/vocal_entab/midi/las_je_ne_puis.mid")</f>
        <v>http://lutemusic.org/composers/Anon/vocal_entab/midi/las_je_ne_puis.mid</v>
      </c>
      <c r="AC217" s="0" t="n">
        <v>1573937406</v>
      </c>
      <c r="AD217" s="0" t="n">
        <v>1590368213</v>
      </c>
    </row>
    <row r="218" customFormat="false" ht="12.8" hidden="false" customHeight="false" outlineLevel="0" collapsed="false">
      <c r="A218" s="0" t="s">
        <v>524</v>
      </c>
      <c r="C218" s="0" t="s">
        <v>79</v>
      </c>
      <c r="E218" s="0" t="s">
        <v>154</v>
      </c>
      <c r="F218" s="0" t="s">
        <v>69</v>
      </c>
      <c r="H218" s="0" t="n">
        <v>1350</v>
      </c>
      <c r="I218" s="0" t="s">
        <v>525</v>
      </c>
      <c r="J218" s="0" t="s">
        <v>36</v>
      </c>
      <c r="K218" s="0" t="s">
        <v>432</v>
      </c>
      <c r="L218" s="0" t="s">
        <v>432</v>
      </c>
      <c r="P218" s="0" t="s">
        <v>524</v>
      </c>
      <c r="R218" s="0" t="s">
        <v>83</v>
      </c>
      <c r="S218" s="0" t="s">
        <v>38</v>
      </c>
      <c r="T218" s="0" t="n">
        <v>2</v>
      </c>
      <c r="U218" s="0" t="s">
        <v>523</v>
      </c>
      <c r="Z218" s="0" t="str">
        <f aca="false">HYPERLINK("http://lutemusic.org/composers/Anon/vocal_entab/la_doulce_flour.ft3")</f>
        <v>http://lutemusic.org/composers/Anon/vocal_entab/la_doulce_flour.ft3</v>
      </c>
      <c r="AA218" s="0" t="str">
        <f aca="false">HYPERLINK("http://lutemusic.org/composers/Anon/vocal_entab/pdf/la_doulce_flour.pdf")</f>
        <v>http://lutemusic.org/composers/Anon/vocal_entab/pdf/la_doulce_flour.pdf</v>
      </c>
      <c r="AB218" s="0" t="str">
        <f aca="false">HYPERLINK("http://lutemusic.org/composers/Anon/vocal_entab/midi/la_doulce_flour.mid")</f>
        <v>http://lutemusic.org/composers/Anon/vocal_entab/midi/la_doulce_flour.mid</v>
      </c>
      <c r="AC218" s="0" t="n">
        <v>1573937406</v>
      </c>
      <c r="AD218" s="0" t="n">
        <v>1586042061</v>
      </c>
    </row>
    <row r="219" customFormat="false" ht="12.8" hidden="false" customHeight="false" outlineLevel="0" collapsed="false">
      <c r="A219" s="0" t="s">
        <v>526</v>
      </c>
      <c r="C219" s="0" t="s">
        <v>527</v>
      </c>
      <c r="E219" s="0" t="s">
        <v>528</v>
      </c>
      <c r="F219" s="0" t="s">
        <v>529</v>
      </c>
      <c r="H219" s="0" t="n">
        <v>1465</v>
      </c>
      <c r="I219" s="0" t="s">
        <v>35</v>
      </c>
      <c r="J219" s="0" t="s">
        <v>36</v>
      </c>
      <c r="K219" s="0" t="s">
        <v>432</v>
      </c>
      <c r="L219" s="0" t="s">
        <v>432</v>
      </c>
      <c r="P219" s="0" t="s">
        <v>526</v>
      </c>
      <c r="R219" s="0" t="s">
        <v>83</v>
      </c>
      <c r="S219" s="0" t="s">
        <v>49</v>
      </c>
      <c r="T219" s="0" t="n">
        <v>2</v>
      </c>
      <c r="U219" s="0" t="s">
        <v>523</v>
      </c>
      <c r="Z219" s="0" t="str">
        <f aca="false">HYPERLINK("http://lutemusic.org/composers/Anon/vocal_entab/le_souvenir_de_vous_me_tue.ft3")</f>
        <v>http://lutemusic.org/composers/Anon/vocal_entab/le_souvenir_de_vous_me_tue.ft3</v>
      </c>
      <c r="AA219" s="0" t="str">
        <f aca="false">HYPERLINK("http://lutemusic.org/composers/Anon/vocal_entab/pdf/le_souvenir_de_vous_me_tue.pdf")</f>
        <v>http://lutemusic.org/composers/Anon/vocal_entab/pdf/le_souvenir_de_vous_me_tue.pdf</v>
      </c>
      <c r="AB219" s="0" t="str">
        <f aca="false">HYPERLINK("http://lutemusic.org/composers/Anon/vocal_entab/midi/le_souvenir_de_vous_me_tue.mid")</f>
        <v>http://lutemusic.org/composers/Anon/vocal_entab/midi/le_souvenir_de_vous_me_tue.mid</v>
      </c>
      <c r="AC219" s="0" t="n">
        <v>1573937406</v>
      </c>
      <c r="AD219" s="0" t="n">
        <v>1586042061</v>
      </c>
    </row>
    <row r="220" customFormat="false" ht="12.8" hidden="false" customHeight="false" outlineLevel="0" collapsed="false">
      <c r="A220" s="0" t="s">
        <v>530</v>
      </c>
      <c r="C220" s="0" t="s">
        <v>79</v>
      </c>
      <c r="E220" s="0" t="s">
        <v>200</v>
      </c>
      <c r="F220" s="0" t="s">
        <v>201</v>
      </c>
      <c r="H220" s="0" t="n">
        <v>1580</v>
      </c>
      <c r="I220" s="0" t="s">
        <v>525</v>
      </c>
      <c r="J220" s="0" t="s">
        <v>36</v>
      </c>
      <c r="K220" s="0" t="s">
        <v>36</v>
      </c>
      <c r="P220" s="0" t="s">
        <v>530</v>
      </c>
      <c r="R220" s="0" t="s">
        <v>83</v>
      </c>
      <c r="S220" s="0" t="s">
        <v>66</v>
      </c>
      <c r="T220" s="0" t="n">
        <v>2</v>
      </c>
      <c r="U220" s="0" t="s">
        <v>63</v>
      </c>
      <c r="Z220" s="0" t="str">
        <f aca="false">HYPERLINK("http://lutemusic.org/composers/Anon/vocal_entab/se_io_m_accorgo_ben.ft3")</f>
        <v>http://lutemusic.org/composers/Anon/vocal_entab/se_io_m_accorgo_ben.ft3</v>
      </c>
      <c r="AA220" s="0" t="str">
        <f aca="false">HYPERLINK("http://lutemusic.org/composers/Anon/vocal_entab/pdf/se_io_m_accorgo_ben.pdf")</f>
        <v>http://lutemusic.org/composers/Anon/vocal_entab/pdf/se_io_m_accorgo_ben.pdf</v>
      </c>
      <c r="AB220" s="0" t="str">
        <f aca="false">HYPERLINK("http://lutemusic.org/composers/Anon/vocal_entab/midi/se_io_m_accorgo_ben.mid")</f>
        <v>http://lutemusic.org/composers/Anon/vocal_entab/midi/se_io_m_accorgo_ben.mid</v>
      </c>
      <c r="AC220" s="0" t="n">
        <v>1573937406</v>
      </c>
      <c r="AD220" s="0" t="n">
        <v>1586042061</v>
      </c>
    </row>
    <row r="221" customFormat="false" ht="12.8" hidden="false" customHeight="false" outlineLevel="0" collapsed="false">
      <c r="A221" s="0" t="s">
        <v>137</v>
      </c>
      <c r="C221" s="0" t="s">
        <v>79</v>
      </c>
      <c r="E221" s="0" t="s">
        <v>200</v>
      </c>
      <c r="F221" s="0" t="s">
        <v>201</v>
      </c>
      <c r="H221" s="0" t="n">
        <v>1580</v>
      </c>
      <c r="I221" s="0" t="s">
        <v>531</v>
      </c>
      <c r="J221" s="0" t="s">
        <v>36</v>
      </c>
      <c r="K221" s="0" t="s">
        <v>36</v>
      </c>
      <c r="P221" s="0" t="s">
        <v>137</v>
      </c>
      <c r="R221" s="0" t="s">
        <v>83</v>
      </c>
      <c r="S221" s="0" t="s">
        <v>49</v>
      </c>
      <c r="T221" s="0" t="n">
        <v>2</v>
      </c>
      <c r="U221" s="0" t="s">
        <v>63</v>
      </c>
      <c r="Z221" s="0" t="str">
        <f aca="false">HYPERLINK("http://lutemusic.org/composers/Anon/vocal_entab/song.ft3")</f>
        <v>http://lutemusic.org/composers/Anon/vocal_entab/song.ft3</v>
      </c>
      <c r="AA221" s="0" t="str">
        <f aca="false">HYPERLINK("http://lutemusic.org/composers/Anon/vocal_entab/pdf/song.pdf")</f>
        <v>http://lutemusic.org/composers/Anon/vocal_entab/pdf/song.pdf</v>
      </c>
      <c r="AB221" s="0" t="str">
        <f aca="false">HYPERLINK("http://lutemusic.org/composers/Anon/vocal_entab/midi/song.mid")</f>
        <v>http://lutemusic.org/composers/Anon/vocal_entab/midi/song.mid</v>
      </c>
      <c r="AC221" s="0" t="n">
        <v>1573937406</v>
      </c>
      <c r="AD221" s="0" t="n">
        <v>1586042061</v>
      </c>
    </row>
    <row r="222" customFormat="false" ht="12.8" hidden="false" customHeight="false" outlineLevel="0" collapsed="false">
      <c r="A222" s="0" t="s">
        <v>532</v>
      </c>
      <c r="C222" s="0" t="s">
        <v>79</v>
      </c>
      <c r="E222" s="0" t="s">
        <v>533</v>
      </c>
      <c r="F222" s="0" t="s">
        <v>534</v>
      </c>
      <c r="H222" s="0" t="n">
        <v>1556</v>
      </c>
      <c r="I222" s="0" t="s">
        <v>35</v>
      </c>
      <c r="J222" s="0" t="s">
        <v>36</v>
      </c>
      <c r="K222" s="0" t="s">
        <v>36</v>
      </c>
      <c r="L222" s="0" t="s">
        <v>36</v>
      </c>
      <c r="P222" s="0" t="s">
        <v>532</v>
      </c>
      <c r="R222" s="0" t="s">
        <v>260</v>
      </c>
      <c r="S222" s="0" t="s">
        <v>38</v>
      </c>
      <c r="T222" s="0" t="n">
        <v>2</v>
      </c>
      <c r="U222" s="0" t="s">
        <v>535</v>
      </c>
      <c r="V222" s="0" t="s">
        <v>535</v>
      </c>
      <c r="Z222" s="0" t="str">
        <f aca="false">HYPERLINK("http://lutemusic.org/composers/Anon/vocal_entab/dadme_albricias/dadme_albricias_C_4.ft3")</f>
        <v>http://lutemusic.org/composers/Anon/vocal_entab/dadme_albricias/dadme_albricias_C_4.ft3</v>
      </c>
      <c r="AA222" s="0" t="str">
        <f aca="false">HYPERLINK("http://lutemusic.org/composers/Anon/vocal_entab/dadme_albricias/pdf/dadme_albricias_C_4.pdf")</f>
        <v>http://lutemusic.org/composers/Anon/vocal_entab/dadme_albricias/pdf/dadme_albricias_C_4.pdf</v>
      </c>
      <c r="AB222" s="0" t="str">
        <f aca="false">HYPERLINK("http://lutemusic.org/composers/Anon/vocal_entab/dadme_albricias/midi/dadme_albricias_C_4.mid")</f>
        <v>http://lutemusic.org/composers/Anon/vocal_entab/dadme_albricias/midi/dadme_albricias_C_4.mid</v>
      </c>
      <c r="AC222" s="0" t="n">
        <v>1573937406</v>
      </c>
      <c r="AD222" s="0" t="n">
        <v>1586042061</v>
      </c>
    </row>
    <row r="223" customFormat="false" ht="12.8" hidden="false" customHeight="false" outlineLevel="0" collapsed="false">
      <c r="A223" s="0" t="s">
        <v>532</v>
      </c>
      <c r="C223" s="0" t="s">
        <v>79</v>
      </c>
      <c r="E223" s="0" t="s">
        <v>533</v>
      </c>
      <c r="F223" s="0" t="s">
        <v>534</v>
      </c>
      <c r="H223" s="0" t="n">
        <v>1556</v>
      </c>
      <c r="I223" s="0" t="s">
        <v>35</v>
      </c>
      <c r="J223" s="0" t="s">
        <v>36</v>
      </c>
      <c r="K223" s="0" t="s">
        <v>36</v>
      </c>
      <c r="L223" s="0" t="s">
        <v>36</v>
      </c>
      <c r="P223" s="0" t="s">
        <v>532</v>
      </c>
      <c r="R223" s="0" t="s">
        <v>83</v>
      </c>
      <c r="S223" s="0" t="s">
        <v>38</v>
      </c>
      <c r="T223" s="0" t="n">
        <v>3</v>
      </c>
      <c r="U223" s="0" t="s">
        <v>63</v>
      </c>
      <c r="Z223" s="0" t="str">
        <f aca="false">HYPERLINK("http://lutemusic.org/composers/Anon/vocal_entab/dadme_albricias/dadme_albricias_C_solo.ft3")</f>
        <v>http://lutemusic.org/composers/Anon/vocal_entab/dadme_albricias/dadme_albricias_C_solo.ft3</v>
      </c>
      <c r="AA223" s="0" t="str">
        <f aca="false">HYPERLINK("http://lutemusic.org/composers/Anon/vocal_entab/dadme_albricias/pdf/dadme_albricias_C_solo.pdf")</f>
        <v>http://lutemusic.org/composers/Anon/vocal_entab/dadme_albricias/pdf/dadme_albricias_C_solo.pdf</v>
      </c>
      <c r="AB223" s="0" t="str">
        <f aca="false">HYPERLINK("http://lutemusic.org/composers/Anon/vocal_entab/dadme_albricias/midi/dadme_albricias_C_solo.mid")</f>
        <v>http://lutemusic.org/composers/Anon/vocal_entab/dadme_albricias/midi/dadme_albricias_C_solo.mid</v>
      </c>
      <c r="AC223" s="0" t="n">
        <v>1573937406</v>
      </c>
      <c r="AD223" s="0" t="n">
        <v>1586042061</v>
      </c>
    </row>
    <row r="224" customFormat="false" ht="12.8" hidden="false" customHeight="false" outlineLevel="0" collapsed="false">
      <c r="A224" s="0" t="s">
        <v>536</v>
      </c>
      <c r="C224" s="0" t="s">
        <v>79</v>
      </c>
      <c r="E224" s="0" t="s">
        <v>537</v>
      </c>
      <c r="F224" s="0" t="s">
        <v>538</v>
      </c>
      <c r="H224" s="0" t="n">
        <v>1516</v>
      </c>
      <c r="I224" s="0" t="s">
        <v>35</v>
      </c>
      <c r="J224" s="0" t="s">
        <v>36</v>
      </c>
      <c r="K224" s="0" t="s">
        <v>36</v>
      </c>
      <c r="L224" s="0" t="s">
        <v>36</v>
      </c>
      <c r="P224" s="0" t="s">
        <v>536</v>
      </c>
      <c r="R224" s="0" t="s">
        <v>48</v>
      </c>
      <c r="S224" s="0" t="s">
        <v>49</v>
      </c>
      <c r="T224" s="0" t="n">
        <v>2</v>
      </c>
      <c r="U224" s="0" t="s">
        <v>535</v>
      </c>
      <c r="V224" s="0" t="s">
        <v>535</v>
      </c>
      <c r="Z224" s="0" t="str">
        <f aca="false">HYPERLINK("http://lutemusic.org/composers/Anon/vocal_entab/pase_el_aqua_ma_julieta/pase_el_aqua_ma_julieta_4.ft3")</f>
        <v>http://lutemusic.org/composers/Anon/vocal_entab/pase_el_aqua_ma_julieta/pase_el_aqua_ma_julieta_4.ft3</v>
      </c>
      <c r="AA224" s="0" t="str">
        <f aca="false">HYPERLINK("http://lutemusic.org/composers/Anon/vocal_entab/pase_el_aqua_ma_julieta/pdf/pase_el_aqua_ma_julieta_4.pdf")</f>
        <v>http://lutemusic.org/composers/Anon/vocal_entab/pase_el_aqua_ma_julieta/pdf/pase_el_aqua_ma_julieta_4.pdf</v>
      </c>
      <c r="AB224" s="0" t="str">
        <f aca="false">HYPERLINK("http://lutemusic.org/composers/Anon/vocal_entab/pase_el_aqua_ma_julieta/midi/pase_el_aqua_ma_julieta_4.mid")</f>
        <v>http://lutemusic.org/composers/Anon/vocal_entab/pase_el_aqua_ma_julieta/midi/pase_el_aqua_ma_julieta_4.mid</v>
      </c>
      <c r="AC224" s="0" t="n">
        <v>1573937406</v>
      </c>
      <c r="AD224" s="0" t="n">
        <v>1586042061</v>
      </c>
    </row>
    <row r="225" customFormat="false" ht="12.8" hidden="false" customHeight="false" outlineLevel="0" collapsed="false">
      <c r="A225" s="0" t="s">
        <v>536</v>
      </c>
      <c r="C225" s="0" t="s">
        <v>79</v>
      </c>
      <c r="E225" s="0" t="s">
        <v>537</v>
      </c>
      <c r="F225" s="0" t="s">
        <v>538</v>
      </c>
      <c r="H225" s="0" t="n">
        <v>1516</v>
      </c>
      <c r="I225" s="0" t="s">
        <v>35</v>
      </c>
      <c r="J225" s="0" t="s">
        <v>36</v>
      </c>
      <c r="K225" s="0" t="s">
        <v>36</v>
      </c>
      <c r="L225" s="0" t="s">
        <v>36</v>
      </c>
      <c r="P225" s="0" t="s">
        <v>536</v>
      </c>
      <c r="R225" s="0" t="s">
        <v>83</v>
      </c>
      <c r="S225" s="0" t="s">
        <v>49</v>
      </c>
      <c r="T225" s="0" t="n">
        <v>2</v>
      </c>
      <c r="U225" s="0" t="s">
        <v>143</v>
      </c>
      <c r="Z225" s="0" t="str">
        <f aca="false">HYPERLINK("http://lutemusic.org/composers/Anon/vocal_entab/pase_el_aqua_ma_julieta/pase_el_aqua_ma_julieta_solo.ft3")</f>
        <v>http://lutemusic.org/composers/Anon/vocal_entab/pase_el_aqua_ma_julieta/pase_el_aqua_ma_julieta_solo.ft3</v>
      </c>
      <c r="AA225" s="0" t="str">
        <f aca="false">HYPERLINK("http://lutemusic.org/composers/Anon/vocal_entab/pase_el_aqua_ma_julieta/pdf/pase_el_aqua_ma_julieta_solo.pdf")</f>
        <v>http://lutemusic.org/composers/Anon/vocal_entab/pase_el_aqua_ma_julieta/pdf/pase_el_aqua_ma_julieta_solo.pdf</v>
      </c>
      <c r="AB225" s="0" t="str">
        <f aca="false">HYPERLINK("http://lutemusic.org/composers/Anon/vocal_entab/pase_el_aqua_ma_julieta/midi/pase_el_aqua_ma_julieta_solo.mid")</f>
        <v>http://lutemusic.org/composers/Anon/vocal_entab/pase_el_aqua_ma_julieta/midi/pase_el_aqua_ma_julieta_solo.mid</v>
      </c>
      <c r="AC225" s="0" t="n">
        <v>1573937406</v>
      </c>
      <c r="AD225" s="0" t="n">
        <v>1586042061</v>
      </c>
    </row>
    <row r="226" customFormat="false" ht="12.8" hidden="false" customHeight="false" outlineLevel="0" collapsed="false">
      <c r="A226" s="0" t="s">
        <v>536</v>
      </c>
      <c r="C226" s="0" t="s">
        <v>79</v>
      </c>
      <c r="E226" s="0" t="s">
        <v>537</v>
      </c>
      <c r="F226" s="0" t="s">
        <v>538</v>
      </c>
      <c r="H226" s="0" t="n">
        <v>1516</v>
      </c>
      <c r="I226" s="0" t="s">
        <v>35</v>
      </c>
      <c r="J226" s="0" t="s">
        <v>36</v>
      </c>
      <c r="K226" s="0" t="s">
        <v>36</v>
      </c>
      <c r="L226" s="0" t="s">
        <v>36</v>
      </c>
      <c r="P226" s="0" t="s">
        <v>536</v>
      </c>
      <c r="R226" s="0" t="s">
        <v>51</v>
      </c>
      <c r="S226" s="0" t="s">
        <v>49</v>
      </c>
      <c r="T226" s="0" t="n">
        <v>2</v>
      </c>
      <c r="U226" s="0" t="s">
        <v>425</v>
      </c>
      <c r="V226" s="0" t="s">
        <v>40</v>
      </c>
      <c r="Z226" s="0" t="str">
        <f aca="false">HYPERLINK("http://lutemusic.org/composers/Anon/vocal_entab/pase_el_aqua_ma_julieta/pase_el_aqua_ma_julieta_song.ft3")</f>
        <v>http://lutemusic.org/composers/Anon/vocal_entab/pase_el_aqua_ma_julieta/pase_el_aqua_ma_julieta_song.ft3</v>
      </c>
      <c r="AA226" s="0" t="str">
        <f aca="false">HYPERLINK("http://lutemusic.org/composers/Anon/vocal_entab/pase_el_aqua_ma_julieta/pdf/pase_el_aqua_ma_julieta_song.pdf")</f>
        <v>http://lutemusic.org/composers/Anon/vocal_entab/pase_el_aqua_ma_julieta/pdf/pase_el_aqua_ma_julieta_song.pdf</v>
      </c>
      <c r="AB226" s="0" t="str">
        <f aca="false">HYPERLINK("http://lutemusic.org/composers/Anon/vocal_entab/pase_el_aqua_ma_julieta/midi/pase_el_aqua_ma_julieta_song.mid")</f>
        <v>http://lutemusic.org/composers/Anon/vocal_entab/pase_el_aqua_ma_julieta/midi/pase_el_aqua_ma_julieta_song.mid</v>
      </c>
      <c r="AC226" s="0" t="n">
        <v>1573937406</v>
      </c>
      <c r="AD226" s="0" t="n">
        <v>1586042061</v>
      </c>
    </row>
    <row r="227" customFormat="false" ht="12.8" hidden="false" customHeight="false" outlineLevel="0" collapsed="false">
      <c r="A227" s="0" t="s">
        <v>539</v>
      </c>
      <c r="C227" s="0" t="s">
        <v>540</v>
      </c>
      <c r="E227" s="0" t="s">
        <v>540</v>
      </c>
      <c r="F227" s="0" t="s">
        <v>69</v>
      </c>
      <c r="H227" s="0" t="n">
        <v>1505</v>
      </c>
      <c r="I227" s="0" t="s">
        <v>541</v>
      </c>
      <c r="J227" s="0" t="s">
        <v>36</v>
      </c>
      <c r="K227" s="0" t="s">
        <v>36</v>
      </c>
      <c r="L227" s="0" t="s">
        <v>36</v>
      </c>
      <c r="P227" s="0" t="s">
        <v>542</v>
      </c>
      <c r="R227" s="0" t="s">
        <v>83</v>
      </c>
      <c r="S227" s="0" t="s">
        <v>338</v>
      </c>
      <c r="T227" s="0" t="n">
        <v>2</v>
      </c>
      <c r="U227" s="0" t="s">
        <v>63</v>
      </c>
      <c r="Z227" s="0" t="str">
        <f aca="false">HYPERLINK("http://lutemusic.org/composers/Aquilano/aquilano_non_mi_negar_signora.ft3")</f>
        <v>http://lutemusic.org/composers/Aquilano/aquilano_non_mi_negar_signora.ft3</v>
      </c>
      <c r="AA227" s="0" t="str">
        <f aca="false">HYPERLINK("http://lutemusic.org/composers/Aquilano/pdf/aquilano_non_mi_negar_signora.pdf")</f>
        <v>http://lutemusic.org/composers/Aquilano/pdf/aquilano_non_mi_negar_signora.pdf</v>
      </c>
      <c r="AB227" s="0" t="str">
        <f aca="false">HYPERLINK("http://lutemusic.org/composers/Aquilano/midi/aquilano_non_mi_negar_signora.mid")</f>
        <v>http://lutemusic.org/composers/Aquilano/midi/aquilano_non_mi_negar_signora.mid</v>
      </c>
      <c r="AC227" s="0" t="n">
        <v>1573937406</v>
      </c>
      <c r="AD227" s="0" t="n">
        <v>1586042061</v>
      </c>
    </row>
    <row r="228" customFormat="false" ht="12.8" hidden="false" customHeight="false" outlineLevel="0" collapsed="false">
      <c r="A228" s="0" t="s">
        <v>543</v>
      </c>
      <c r="C228" s="0" t="s">
        <v>544</v>
      </c>
      <c r="E228" s="0" t="s">
        <v>394</v>
      </c>
      <c r="F228" s="0" t="s">
        <v>545</v>
      </c>
      <c r="H228" s="0" t="n">
        <v>1740</v>
      </c>
      <c r="J228" s="0" t="s">
        <v>36</v>
      </c>
      <c r="K228" s="0" t="s">
        <v>36</v>
      </c>
      <c r="L228" s="0" t="s">
        <v>36</v>
      </c>
      <c r="R228" s="0" t="s">
        <v>51</v>
      </c>
      <c r="S228" s="0" t="s">
        <v>152</v>
      </c>
      <c r="T228" s="0" t="n">
        <v>3</v>
      </c>
      <c r="U228" s="0" t="s">
        <v>546</v>
      </c>
      <c r="V228" s="0" t="s">
        <v>40</v>
      </c>
      <c r="Z228" s="0" t="str">
        <f aca="false">HYPERLINK("http://lutemusic.org/composers/Arne/blow_blow_thou_winter_wind/blow_blow_thou_winter_wind_S.ft3")</f>
        <v>http://lutemusic.org/composers/Arne/blow_blow_thou_winter_wind/blow_blow_thou_winter_wind_S.ft3</v>
      </c>
      <c r="AA228" s="0" t="str">
        <f aca="false">HYPERLINK("http://lutemusic.org/composers/Arne/blow_blow_thou_winter_wind/pdf/blow_blow_thou_winter_wind_S.pdf")</f>
        <v>http://lutemusic.org/composers/Arne/blow_blow_thou_winter_wind/pdf/blow_blow_thou_winter_wind_S.pdf</v>
      </c>
      <c r="AB228" s="0" t="str">
        <f aca="false">HYPERLINK("http://lutemusic.org/composers/Arne/blow_blow_thou_winter_wind/midi/blow_blow_thou_winter_wind_S.mid")</f>
        <v>http://lutemusic.org/composers/Arne/blow_blow_thou_winter_wind/midi/blow_blow_thou_winter_wind_S.mid</v>
      </c>
      <c r="AC228" s="0" t="n">
        <v>1573937406</v>
      </c>
      <c r="AD228" s="0" t="n">
        <v>1586042061</v>
      </c>
    </row>
    <row r="229" customFormat="false" ht="12.8" hidden="false" customHeight="false" outlineLevel="0" collapsed="false">
      <c r="A229" s="0" t="s">
        <v>543</v>
      </c>
      <c r="C229" s="0" t="s">
        <v>544</v>
      </c>
      <c r="E229" s="0" t="s">
        <v>394</v>
      </c>
      <c r="F229" s="0" t="s">
        <v>545</v>
      </c>
      <c r="H229" s="0" t="n">
        <v>1740</v>
      </c>
      <c r="J229" s="0" t="s">
        <v>36</v>
      </c>
      <c r="K229" s="0" t="s">
        <v>36</v>
      </c>
      <c r="L229" s="0" t="s">
        <v>36</v>
      </c>
      <c r="R229" s="0" t="s">
        <v>51</v>
      </c>
      <c r="S229" s="0" t="s">
        <v>152</v>
      </c>
      <c r="T229" s="0" t="n">
        <v>3</v>
      </c>
      <c r="U229" s="0" t="s">
        <v>546</v>
      </c>
      <c r="V229" s="0" t="s">
        <v>53</v>
      </c>
      <c r="Z229" s="0" t="str">
        <f aca="false">HYPERLINK("http://lutemusic.org/composers/Arne/blow_blow_thou_winter_wind/blow_blow_thou_winter_wind_simple_T.ft3")</f>
        <v>http://lutemusic.org/composers/Arne/blow_blow_thou_winter_wind/blow_blow_thou_winter_wind_simple_T.ft3</v>
      </c>
      <c r="AA229" s="0" t="str">
        <f aca="false">HYPERLINK("http://lutemusic.org/composers/Arne/blow_blow_thou_winter_wind/pdf/blow_blow_thou_winter_wind_simple_T.pdf")</f>
        <v>http://lutemusic.org/composers/Arne/blow_blow_thou_winter_wind/pdf/blow_blow_thou_winter_wind_simple_T.pdf</v>
      </c>
      <c r="AB229" s="0" t="str">
        <f aca="false">HYPERLINK("http://lutemusic.org/composers/Arne/blow_blow_thou_winter_wind/midi/blow_blow_thou_winter_wind_simple_T.mid")</f>
        <v>http://lutemusic.org/composers/Arne/blow_blow_thou_winter_wind/midi/blow_blow_thou_winter_wind_simple_T.mid</v>
      </c>
      <c r="AC229" s="0" t="n">
        <v>1573937406</v>
      </c>
      <c r="AD229" s="0" t="n">
        <v>1586042061</v>
      </c>
    </row>
    <row r="230" customFormat="false" ht="12.8" hidden="false" customHeight="false" outlineLevel="0" collapsed="false">
      <c r="A230" s="0" t="s">
        <v>543</v>
      </c>
      <c r="C230" s="0" t="s">
        <v>544</v>
      </c>
      <c r="E230" s="0" t="s">
        <v>394</v>
      </c>
      <c r="F230" s="0" t="s">
        <v>545</v>
      </c>
      <c r="H230" s="0" t="n">
        <v>1740</v>
      </c>
      <c r="J230" s="0" t="s">
        <v>36</v>
      </c>
      <c r="K230" s="0" t="s">
        <v>36</v>
      </c>
      <c r="L230" s="0" t="s">
        <v>36</v>
      </c>
      <c r="R230" s="0" t="s">
        <v>51</v>
      </c>
      <c r="S230" s="0" t="s">
        <v>152</v>
      </c>
      <c r="T230" s="0" t="n">
        <v>3</v>
      </c>
      <c r="U230" s="0" t="s">
        <v>546</v>
      </c>
      <c r="V230" s="0" t="s">
        <v>53</v>
      </c>
      <c r="Z230" s="0" t="str">
        <f aca="false">HYPERLINK("http://lutemusic.org/composers/Arne/blow_blow_thou_winter_wind/blow_blow_thou_winter_wind_T.ft3")</f>
        <v>http://lutemusic.org/composers/Arne/blow_blow_thou_winter_wind/blow_blow_thou_winter_wind_T.ft3</v>
      </c>
      <c r="AA230" s="0" t="str">
        <f aca="false">HYPERLINK("http://lutemusic.org/composers/Arne/blow_blow_thou_winter_wind/pdf/blow_blow_thou_winter_wind_T.pdf")</f>
        <v>http://lutemusic.org/composers/Arne/blow_blow_thou_winter_wind/pdf/blow_blow_thou_winter_wind_T.pdf</v>
      </c>
      <c r="AB230" s="0" t="str">
        <f aca="false">HYPERLINK("http://lutemusic.org/composers/Arne/blow_blow_thou_winter_wind/midi/blow_blow_thou_winter_wind_T.mid")</f>
        <v>http://lutemusic.org/composers/Arne/blow_blow_thou_winter_wind/midi/blow_blow_thou_winter_wind_T.mid</v>
      </c>
      <c r="AC230" s="0" t="n">
        <v>1573937406</v>
      </c>
      <c r="AD230" s="0" t="n">
        <v>1586042061</v>
      </c>
    </row>
    <row r="231" customFormat="false" ht="12.8" hidden="false" customHeight="false" outlineLevel="0" collapsed="false">
      <c r="A231" s="0" t="s">
        <v>543</v>
      </c>
      <c r="C231" s="0" t="s">
        <v>544</v>
      </c>
      <c r="E231" s="0" t="s">
        <v>394</v>
      </c>
      <c r="F231" s="0" t="s">
        <v>545</v>
      </c>
      <c r="H231" s="0" t="n">
        <v>1740</v>
      </c>
      <c r="J231" s="0" t="s">
        <v>36</v>
      </c>
      <c r="K231" s="0" t="s">
        <v>36</v>
      </c>
      <c r="L231" s="0" t="s">
        <v>36</v>
      </c>
      <c r="R231" s="0" t="s">
        <v>51</v>
      </c>
      <c r="S231" s="0" t="s">
        <v>152</v>
      </c>
      <c r="T231" s="0" t="n">
        <v>3</v>
      </c>
      <c r="U231" s="0" t="s">
        <v>546</v>
      </c>
      <c r="V231" s="0" t="s">
        <v>547</v>
      </c>
      <c r="Z231" s="0" t="str">
        <f aca="false">HYPERLINK("http://lutemusic.org/composers/Arne/blow_blow_thou_winter_wind/blow_blow_thou_winter_wind_VT.ft3")</f>
        <v>http://lutemusic.org/composers/Arne/blow_blow_thou_winter_wind/blow_blow_thou_winter_wind_VT.ft3</v>
      </c>
      <c r="AA231" s="0" t="str">
        <f aca="false">HYPERLINK("http://lutemusic.org/composers/Arne/blow_blow_thou_winter_wind/pdf/blow_blow_thou_winter_wind_VT.pdf")</f>
        <v>http://lutemusic.org/composers/Arne/blow_blow_thou_winter_wind/pdf/blow_blow_thou_winter_wind_VT.pdf</v>
      </c>
      <c r="AB231" s="0" t="str">
        <f aca="false">HYPERLINK("http://lutemusic.org/composers/Arne/blow_blow_thou_winter_wind/midi/blow_blow_thou_winter_wind_VT.mid")</f>
        <v>http://lutemusic.org/composers/Arne/blow_blow_thou_winter_wind/midi/blow_blow_thou_winter_wind_VT.mid</v>
      </c>
      <c r="AC231" s="0" t="n">
        <v>1573937406</v>
      </c>
      <c r="AD231" s="0" t="n">
        <v>1586042061</v>
      </c>
    </row>
    <row r="232" customFormat="false" ht="12.8" hidden="false" customHeight="false" outlineLevel="0" collapsed="false">
      <c r="A232" s="0" t="s">
        <v>543</v>
      </c>
      <c r="C232" s="0" t="s">
        <v>544</v>
      </c>
      <c r="E232" s="0" t="s">
        <v>394</v>
      </c>
      <c r="F232" s="0" t="s">
        <v>545</v>
      </c>
      <c r="H232" s="0" t="n">
        <v>1740</v>
      </c>
      <c r="J232" s="0" t="s">
        <v>36</v>
      </c>
      <c r="K232" s="0" t="s">
        <v>36</v>
      </c>
      <c r="L232" s="0" t="s">
        <v>36</v>
      </c>
      <c r="P232" s="0" t="s">
        <v>543</v>
      </c>
      <c r="R232" s="0" t="s">
        <v>51</v>
      </c>
      <c r="S232" s="0" t="s">
        <v>152</v>
      </c>
      <c r="T232" s="0" t="n">
        <v>3</v>
      </c>
      <c r="U232" s="0" t="s">
        <v>546</v>
      </c>
      <c r="V232" s="0" t="s">
        <v>40</v>
      </c>
      <c r="Z232" s="0" t="str">
        <f aca="false">HYPERLINK("http://lutemusic.org/composers/Arne/blow_blow_thou_winter_wind/blow_blow_thou_winter_wind_VVT.ft3")</f>
        <v>http://lutemusic.org/composers/Arne/blow_blow_thou_winter_wind/blow_blow_thou_winter_wind_VVT.ft3</v>
      </c>
      <c r="AA232" s="0" t="str">
        <f aca="false">HYPERLINK("http://lutemusic.org/composers/Arne/blow_blow_thou_winter_wind/pdf/blow_blow_thou_winter_wind_VVT.pdf")</f>
        <v>http://lutemusic.org/composers/Arne/blow_blow_thou_winter_wind/pdf/blow_blow_thou_winter_wind_VVT.pdf</v>
      </c>
      <c r="AB232" s="0" t="str">
        <f aca="false">HYPERLINK("http://lutemusic.org/composers/Arne/blow_blow_thou_winter_wind/midi/blow_blow_thou_winter_wind_VVT.mid")</f>
        <v>http://lutemusic.org/composers/Arne/blow_blow_thou_winter_wind/midi/blow_blow_thou_winter_wind_VVT.mid</v>
      </c>
      <c r="AC232" s="0" t="n">
        <v>1584304073</v>
      </c>
      <c r="AD232" s="0" t="n">
        <v>1586042061</v>
      </c>
    </row>
    <row r="233" customFormat="false" ht="12.8" hidden="false" customHeight="false" outlineLevel="0" collapsed="false">
      <c r="A233" s="0" t="s">
        <v>548</v>
      </c>
      <c r="C233" s="0" t="s">
        <v>544</v>
      </c>
      <c r="E233" s="0" t="s">
        <v>394</v>
      </c>
      <c r="F233" s="0" t="s">
        <v>549</v>
      </c>
      <c r="H233" s="0" t="n">
        <v>1747</v>
      </c>
      <c r="J233" s="0" t="s">
        <v>36</v>
      </c>
      <c r="K233" s="0" t="s">
        <v>36</v>
      </c>
      <c r="L233" s="0" t="s">
        <v>36</v>
      </c>
      <c r="P233" s="0" t="s">
        <v>548</v>
      </c>
      <c r="R233" s="0" t="s">
        <v>51</v>
      </c>
      <c r="S233" s="0" t="s">
        <v>84</v>
      </c>
      <c r="T233" s="0" t="n">
        <v>5</v>
      </c>
      <c r="U233" s="0" t="s">
        <v>473</v>
      </c>
      <c r="V233" s="0" t="s">
        <v>143</v>
      </c>
      <c r="Z233" s="0" t="str">
        <f aca="false">HYPERLINK("http://lutemusic.org/composers/Arne/when_daisies_pied/when_daisies_pied_T.ft3")</f>
        <v>http://lutemusic.org/composers/Arne/when_daisies_pied/when_daisies_pied_T.ft3</v>
      </c>
      <c r="AA233" s="0" t="str">
        <f aca="false">HYPERLINK("http://lutemusic.org/composers/Arne/when_daisies_pied/pdf/when_daisies_pied_T.pdf")</f>
        <v>http://lutemusic.org/composers/Arne/when_daisies_pied/pdf/when_daisies_pied_T.pdf</v>
      </c>
      <c r="AB233" s="0" t="str">
        <f aca="false">HYPERLINK("http://lutemusic.org/composers/Arne/when_daisies_pied/midi/when_daisies_pied_T.mid")</f>
        <v>http://lutemusic.org/composers/Arne/when_daisies_pied/midi/when_daisies_pied_T.mid</v>
      </c>
      <c r="AC233" s="0" t="n">
        <v>1573937406</v>
      </c>
      <c r="AD233" s="0" t="n">
        <v>1586042061</v>
      </c>
    </row>
    <row r="234" customFormat="false" ht="12.8" hidden="false" customHeight="false" outlineLevel="0" collapsed="false">
      <c r="A234" s="0" t="s">
        <v>548</v>
      </c>
      <c r="C234" s="0" t="s">
        <v>544</v>
      </c>
      <c r="E234" s="0" t="s">
        <v>394</v>
      </c>
      <c r="F234" s="0" t="s">
        <v>549</v>
      </c>
      <c r="H234" s="0" t="n">
        <v>1747</v>
      </c>
      <c r="J234" s="0" t="s">
        <v>36</v>
      </c>
      <c r="K234" s="0" t="s">
        <v>36</v>
      </c>
      <c r="L234" s="0" t="s">
        <v>36</v>
      </c>
      <c r="P234" s="0" t="s">
        <v>548</v>
      </c>
      <c r="R234" s="0" t="s">
        <v>51</v>
      </c>
      <c r="S234" s="0" t="s">
        <v>84</v>
      </c>
      <c r="T234" s="0" t="n">
        <v>5</v>
      </c>
      <c r="U234" s="0" t="s">
        <v>473</v>
      </c>
      <c r="V234" s="0" t="s">
        <v>40</v>
      </c>
      <c r="Z234" s="0" t="str">
        <f aca="false">HYPERLINK("http://lutemusic.org/composers/Arne/when_daisies_pied/when_daisies_pied_VT.ft3")</f>
        <v>http://lutemusic.org/composers/Arne/when_daisies_pied/when_daisies_pied_VT.ft3</v>
      </c>
      <c r="AA234" s="0" t="str">
        <f aca="false">HYPERLINK("http://lutemusic.org/composers/Arne/when_daisies_pied/pdf/when_daisies_pied_VT.pdf")</f>
        <v>http://lutemusic.org/composers/Arne/when_daisies_pied/pdf/when_daisies_pied_VT.pdf</v>
      </c>
      <c r="AB234" s="0" t="str">
        <f aca="false">HYPERLINK("http://lutemusic.org/composers/Arne/when_daisies_pied/midi/when_daisies_pied_VT.mid")</f>
        <v>http://lutemusic.org/composers/Arne/when_daisies_pied/midi/when_daisies_pied_VT.mid</v>
      </c>
      <c r="AC234" s="0" t="n">
        <v>1573937406</v>
      </c>
      <c r="AD234" s="0" t="n">
        <v>1586042061</v>
      </c>
    </row>
    <row r="235" customFormat="false" ht="12.8" hidden="false" customHeight="false" outlineLevel="0" collapsed="false">
      <c r="A235" s="0" t="s">
        <v>550</v>
      </c>
      <c r="B235" s="0" t="s">
        <v>551</v>
      </c>
      <c r="C235" s="0" t="s">
        <v>552</v>
      </c>
      <c r="E235" s="0" t="s">
        <v>553</v>
      </c>
      <c r="F235" s="0" t="s">
        <v>554</v>
      </c>
      <c r="H235" s="0" t="n">
        <v>1699</v>
      </c>
      <c r="I235" s="0" t="s">
        <v>555</v>
      </c>
      <c r="J235" s="0" t="s">
        <v>36</v>
      </c>
      <c r="K235" s="0" t="s">
        <v>36</v>
      </c>
      <c r="Q235" s="0" t="s">
        <v>551</v>
      </c>
      <c r="R235" s="0" t="s">
        <v>556</v>
      </c>
      <c r="S235" s="0" t="s">
        <v>38</v>
      </c>
      <c r="T235" s="0" t="n">
        <v>3</v>
      </c>
      <c r="U235" s="0" t="s">
        <v>557</v>
      </c>
      <c r="V235" s="0" t="s">
        <v>40</v>
      </c>
      <c r="Z235" s="0" t="str">
        <f aca="false">HYPERLINK("http://lutemusic.org/composers/AScarlatti/augellin_vago_e_canoro/1_aria_1_augellin_vago_e_canoro_S.ft3")</f>
        <v>http://lutemusic.org/composers/AScarlatti/augellin_vago_e_canoro/1_aria_1_augellin_vago_e_canoro_S.ft3</v>
      </c>
      <c r="AA235" s="0" t="str">
        <f aca="false">HYPERLINK("http://lutemusic.org/composers/AScarlatti/augellin_vago_e_canoro/pdf/1_aria_1_augellin_vago_e_canoro_S.pdf")</f>
        <v>http://lutemusic.org/composers/AScarlatti/augellin_vago_e_canoro/pdf/1_aria_1_augellin_vago_e_canoro_S.pdf</v>
      </c>
      <c r="AB235" s="0" t="str">
        <f aca="false">HYPERLINK("http://lutemusic.org/composers/AScarlatti/augellin_vago_e_canoro/midi/1_aria_1_augellin_vago_e_canoro_S.mid")</f>
        <v>http://lutemusic.org/composers/AScarlatti/augellin_vago_e_canoro/midi/1_aria_1_augellin_vago_e_canoro_S.mid</v>
      </c>
      <c r="AC235" s="0" t="n">
        <v>1573937405</v>
      </c>
      <c r="AD235" s="0" t="n">
        <v>1586042061</v>
      </c>
    </row>
    <row r="236" customFormat="false" ht="12.8" hidden="false" customHeight="false" outlineLevel="0" collapsed="false">
      <c r="A236" s="0" t="s">
        <v>550</v>
      </c>
      <c r="B236" s="0" t="s">
        <v>551</v>
      </c>
      <c r="C236" s="0" t="s">
        <v>552</v>
      </c>
      <c r="E236" s="0" t="s">
        <v>553</v>
      </c>
      <c r="F236" s="0" t="s">
        <v>554</v>
      </c>
      <c r="H236" s="0" t="n">
        <v>1699</v>
      </c>
      <c r="I236" s="0" t="s">
        <v>555</v>
      </c>
      <c r="J236" s="0" t="s">
        <v>36</v>
      </c>
      <c r="K236" s="0" t="s">
        <v>36</v>
      </c>
      <c r="Q236" s="0" t="s">
        <v>551</v>
      </c>
      <c r="R236" s="0" t="s">
        <v>556</v>
      </c>
      <c r="S236" s="0" t="s">
        <v>38</v>
      </c>
      <c r="T236" s="0" t="n">
        <v>3</v>
      </c>
      <c r="U236" s="0" t="s">
        <v>557</v>
      </c>
      <c r="V236" s="0" t="s">
        <v>41</v>
      </c>
      <c r="Z236" s="0" t="str">
        <f aca="false">HYPERLINK("http://lutemusic.org/composers/AScarlatti/augellin_vago_e_canoro/1_aria_1_augellin_vago_e_canoro_T.ft3")</f>
        <v>http://lutemusic.org/composers/AScarlatti/augellin_vago_e_canoro/1_aria_1_augellin_vago_e_canoro_T.ft3</v>
      </c>
      <c r="AA236" s="0" t="str">
        <f aca="false">HYPERLINK("http://lutemusic.org/composers/AScarlatti/augellin_vago_e_canoro/pdf/1_aria_1_augellin_vago_e_canoro_T.pdf")</f>
        <v>http://lutemusic.org/composers/AScarlatti/augellin_vago_e_canoro/pdf/1_aria_1_augellin_vago_e_canoro_T.pdf</v>
      </c>
      <c r="AB236" s="0" t="str">
        <f aca="false">HYPERLINK("http://lutemusic.org/composers/AScarlatti/augellin_vago_e_canoro/midi/1_aria_1_augellin_vago_e_canoro_T.mid")</f>
        <v>http://lutemusic.org/composers/AScarlatti/augellin_vago_e_canoro/midi/1_aria_1_augellin_vago_e_canoro_T.mid</v>
      </c>
      <c r="AC236" s="0" t="n">
        <v>1573937405</v>
      </c>
      <c r="AD236" s="0" t="n">
        <v>1586042061</v>
      </c>
    </row>
    <row r="237" customFormat="false" ht="12.8" hidden="false" customHeight="false" outlineLevel="0" collapsed="false">
      <c r="A237" s="0" t="s">
        <v>550</v>
      </c>
      <c r="B237" s="0" t="s">
        <v>551</v>
      </c>
      <c r="C237" s="0" t="s">
        <v>552</v>
      </c>
      <c r="E237" s="0" t="s">
        <v>553</v>
      </c>
      <c r="F237" s="0" t="s">
        <v>554</v>
      </c>
      <c r="H237" s="0" t="n">
        <v>1699</v>
      </c>
      <c r="I237" s="0" t="s">
        <v>555</v>
      </c>
      <c r="J237" s="0" t="s">
        <v>36</v>
      </c>
      <c r="K237" s="0" t="s">
        <v>36</v>
      </c>
      <c r="R237" s="0" t="s">
        <v>556</v>
      </c>
      <c r="S237" s="0" t="s">
        <v>38</v>
      </c>
      <c r="T237" s="0" t="n">
        <v>3</v>
      </c>
      <c r="U237" s="0" t="s">
        <v>557</v>
      </c>
      <c r="V237" s="0" t="s">
        <v>558</v>
      </c>
      <c r="Z237" s="0" t="str">
        <f aca="false">HYPERLINK("http://lutemusic.org/composers/AScarlatti/augellin_vago_e_canoro/1_aria_1_augellin_vago_e_canoro_VB.ft3")</f>
        <v>http://lutemusic.org/composers/AScarlatti/augellin_vago_e_canoro/1_aria_1_augellin_vago_e_canoro_VB.ft3</v>
      </c>
      <c r="AA237" s="0" t="str">
        <f aca="false">HYPERLINK("http://lutemusic.org/composers/AScarlatti/augellin_vago_e_canoro/pdf/1_aria_1_augellin_vago_e_canoro_VB.pdf")</f>
        <v>http://lutemusic.org/composers/AScarlatti/augellin_vago_e_canoro/pdf/1_aria_1_augellin_vago_e_canoro_VB.pdf</v>
      </c>
      <c r="AB237" s="0" t="str">
        <f aca="false">HYPERLINK("http://lutemusic.org/composers/AScarlatti/augellin_vago_e_canoro/midi/1_aria_1_augellin_vago_e_canoro_VB.mid")</f>
        <v>http://lutemusic.org/composers/AScarlatti/augellin_vago_e_canoro/midi/1_aria_1_augellin_vago_e_canoro_VB.mid</v>
      </c>
      <c r="AC237" s="0" t="n">
        <v>1573937405</v>
      </c>
      <c r="AD237" s="0" t="n">
        <v>1586042061</v>
      </c>
    </row>
    <row r="238" customFormat="false" ht="12.8" hidden="false" customHeight="false" outlineLevel="0" collapsed="false">
      <c r="A238" s="0" t="s">
        <v>550</v>
      </c>
      <c r="B238" s="0" t="s">
        <v>551</v>
      </c>
      <c r="C238" s="0" t="s">
        <v>552</v>
      </c>
      <c r="E238" s="0" t="s">
        <v>553</v>
      </c>
      <c r="F238" s="0" t="s">
        <v>554</v>
      </c>
      <c r="H238" s="0" t="n">
        <v>1699</v>
      </c>
      <c r="I238" s="0" t="s">
        <v>555</v>
      </c>
      <c r="J238" s="0" t="s">
        <v>36</v>
      </c>
      <c r="K238" s="0" t="s">
        <v>36</v>
      </c>
      <c r="Q238" s="0" t="s">
        <v>551</v>
      </c>
      <c r="R238" s="0" t="s">
        <v>556</v>
      </c>
      <c r="S238" s="0" t="s">
        <v>38</v>
      </c>
      <c r="T238" s="0" t="n">
        <v>3</v>
      </c>
      <c r="U238" s="0" t="s">
        <v>557</v>
      </c>
      <c r="V238" s="0" t="s">
        <v>559</v>
      </c>
      <c r="Z238" s="0" t="str">
        <f aca="false">HYPERLINK("http://lutemusic.org/composers/AScarlatti/augellin_vago_e_canoro/1_aria_1_augellin_vago_e_canoro_VT.ft3")</f>
        <v>http://lutemusic.org/composers/AScarlatti/augellin_vago_e_canoro/1_aria_1_augellin_vago_e_canoro_VT.ft3</v>
      </c>
      <c r="AA238" s="0" t="str">
        <f aca="false">HYPERLINK("http://lutemusic.org/composers/AScarlatti/augellin_vago_e_canoro/pdf/1_aria_1_augellin_vago_e_canoro_VT.pdf")</f>
        <v>http://lutemusic.org/composers/AScarlatti/augellin_vago_e_canoro/pdf/1_aria_1_augellin_vago_e_canoro_VT.pdf</v>
      </c>
      <c r="AB238" s="0" t="str">
        <f aca="false">HYPERLINK("http://lutemusic.org/composers/AScarlatti/augellin_vago_e_canoro/midi/1_aria_1_augellin_vago_e_canoro_VT.mid")</f>
        <v>http://lutemusic.org/composers/AScarlatti/augellin_vago_e_canoro/midi/1_aria_1_augellin_vago_e_canoro_VT.mid</v>
      </c>
      <c r="AC238" s="0" t="n">
        <v>1573937405</v>
      </c>
      <c r="AD238" s="0" t="n">
        <v>1586042061</v>
      </c>
    </row>
    <row r="239" customFormat="false" ht="12.8" hidden="false" customHeight="false" outlineLevel="0" collapsed="false">
      <c r="A239" s="0" t="s">
        <v>550</v>
      </c>
      <c r="B239" s="0" t="s">
        <v>560</v>
      </c>
      <c r="C239" s="0" t="s">
        <v>552</v>
      </c>
      <c r="E239" s="0" t="s">
        <v>553</v>
      </c>
      <c r="F239" s="0" t="s">
        <v>554</v>
      </c>
      <c r="H239" s="0" t="n">
        <v>1699</v>
      </c>
      <c r="I239" s="0" t="s">
        <v>555</v>
      </c>
      <c r="J239" s="0" t="s">
        <v>36</v>
      </c>
      <c r="K239" s="0" t="s">
        <v>36</v>
      </c>
      <c r="Q239" s="0" t="s">
        <v>560</v>
      </c>
      <c r="R239" s="0" t="s">
        <v>556</v>
      </c>
      <c r="S239" s="0" t="s">
        <v>480</v>
      </c>
      <c r="T239" s="0" t="n">
        <v>3</v>
      </c>
      <c r="U239" s="0" t="s">
        <v>561</v>
      </c>
      <c r="V239" s="0" t="s">
        <v>559</v>
      </c>
      <c r="Z239" s="0" t="str">
        <f aca="false">HYPERLINK("http://lutemusic.org/composers/AScarlatti/augellin_vago_e_canoro/2_recit_1_pur_sensa_mai.ft3")</f>
        <v>http://lutemusic.org/composers/AScarlatti/augellin_vago_e_canoro/2_recit_1_pur_sensa_mai.ft3</v>
      </c>
      <c r="AA239" s="0" t="str">
        <f aca="false">HYPERLINK("http://lutemusic.org/composers/AScarlatti/augellin_vago_e_canoro/pdf/2_recit_1_pur_sensa_mai.pdf")</f>
        <v>http://lutemusic.org/composers/AScarlatti/augellin_vago_e_canoro/pdf/2_recit_1_pur_sensa_mai.pdf</v>
      </c>
      <c r="AB239" s="0" t="str">
        <f aca="false">HYPERLINK("http://lutemusic.org/composers/AScarlatti/augellin_vago_e_canoro/midi/2_recit_1_pur_sensa_mai.mid")</f>
        <v>http://lutemusic.org/composers/AScarlatti/augellin_vago_e_canoro/midi/2_recit_1_pur_sensa_mai.mid</v>
      </c>
      <c r="AC239" s="0" t="n">
        <v>1573937405</v>
      </c>
      <c r="AD239" s="0" t="n">
        <v>1586042061</v>
      </c>
    </row>
    <row r="240" customFormat="false" ht="12.8" hidden="false" customHeight="false" outlineLevel="0" collapsed="false">
      <c r="A240" s="0" t="s">
        <v>550</v>
      </c>
      <c r="B240" s="0" t="s">
        <v>560</v>
      </c>
      <c r="C240" s="0" t="s">
        <v>552</v>
      </c>
      <c r="E240" s="0" t="s">
        <v>553</v>
      </c>
      <c r="F240" s="0" t="s">
        <v>554</v>
      </c>
      <c r="H240" s="0" t="n">
        <v>1699</v>
      </c>
      <c r="I240" s="0" t="s">
        <v>555</v>
      </c>
      <c r="J240" s="0" t="s">
        <v>36</v>
      </c>
      <c r="K240" s="0" t="s">
        <v>36</v>
      </c>
      <c r="Q240" s="0" t="s">
        <v>560</v>
      </c>
      <c r="R240" s="0" t="s">
        <v>556</v>
      </c>
      <c r="S240" s="0" t="s">
        <v>480</v>
      </c>
      <c r="T240" s="0" t="n">
        <v>3</v>
      </c>
      <c r="U240" s="0" t="s">
        <v>561</v>
      </c>
      <c r="V240" s="0" t="s">
        <v>40</v>
      </c>
      <c r="Z240" s="0" t="str">
        <f aca="false">HYPERLINK("http://lutemusic.org/composers/AScarlatti/augellin_vago_e_canoro/2_recit_1_pur_sensa_mai_S.ft3")</f>
        <v>http://lutemusic.org/composers/AScarlatti/augellin_vago_e_canoro/2_recit_1_pur_sensa_mai_S.ft3</v>
      </c>
      <c r="AA240" s="0" t="str">
        <f aca="false">HYPERLINK("http://lutemusic.org/composers/AScarlatti/augellin_vago_e_canoro/pdf/2_recit_1_pur_sensa_mai_S.pdf")</f>
        <v>http://lutemusic.org/composers/AScarlatti/augellin_vago_e_canoro/pdf/2_recit_1_pur_sensa_mai_S.pdf</v>
      </c>
      <c r="AB240" s="0" t="str">
        <f aca="false">HYPERLINK("http://lutemusic.org/composers/AScarlatti/augellin_vago_e_canoro/midi/2_recit_1_pur_sensa_mai_S.mid")</f>
        <v>http://lutemusic.org/composers/AScarlatti/augellin_vago_e_canoro/midi/2_recit_1_pur_sensa_mai_S.mid</v>
      </c>
      <c r="AC240" s="0" t="n">
        <v>1573937405</v>
      </c>
      <c r="AD240" s="0" t="n">
        <v>1586042061</v>
      </c>
    </row>
    <row r="241" customFormat="false" ht="12.8" hidden="false" customHeight="false" outlineLevel="0" collapsed="false">
      <c r="A241" s="0" t="s">
        <v>550</v>
      </c>
      <c r="B241" s="0" t="s">
        <v>560</v>
      </c>
      <c r="C241" s="0" t="s">
        <v>552</v>
      </c>
      <c r="E241" s="0" t="s">
        <v>553</v>
      </c>
      <c r="F241" s="0" t="s">
        <v>554</v>
      </c>
      <c r="H241" s="0" t="n">
        <v>1699</v>
      </c>
      <c r="I241" s="0" t="s">
        <v>555</v>
      </c>
      <c r="J241" s="0" t="s">
        <v>36</v>
      </c>
      <c r="K241" s="0" t="s">
        <v>36</v>
      </c>
      <c r="Q241" s="0" t="s">
        <v>560</v>
      </c>
      <c r="R241" s="0" t="s">
        <v>556</v>
      </c>
      <c r="S241" s="0" t="s">
        <v>480</v>
      </c>
      <c r="T241" s="0" t="n">
        <v>3</v>
      </c>
      <c r="U241" s="0" t="s">
        <v>561</v>
      </c>
      <c r="V241" s="0" t="s">
        <v>41</v>
      </c>
      <c r="Z241" s="0" t="str">
        <f aca="false">HYPERLINK("http://lutemusic.org/composers/AScarlatti/augellin_vago_e_canoro/2_recit_1_pur_sensa_mai_T.ft3")</f>
        <v>http://lutemusic.org/composers/AScarlatti/augellin_vago_e_canoro/2_recit_1_pur_sensa_mai_T.ft3</v>
      </c>
      <c r="AA241" s="0" t="str">
        <f aca="false">HYPERLINK("http://lutemusic.org/composers/AScarlatti/augellin_vago_e_canoro/pdf/2_recit_1_pur_sensa_mai_T.pdf")</f>
        <v>http://lutemusic.org/composers/AScarlatti/augellin_vago_e_canoro/pdf/2_recit_1_pur_sensa_mai_T.pdf</v>
      </c>
      <c r="AB241" s="0" t="str">
        <f aca="false">HYPERLINK("http://lutemusic.org/composers/AScarlatti/augellin_vago_e_canoro/midi/2_recit_1_pur_sensa_mai_T.mid")</f>
        <v>http://lutemusic.org/composers/AScarlatti/augellin_vago_e_canoro/midi/2_recit_1_pur_sensa_mai_T.mid</v>
      </c>
      <c r="AC241" s="0" t="n">
        <v>1573937405</v>
      </c>
      <c r="AD241" s="0" t="n">
        <v>1586042061</v>
      </c>
    </row>
    <row r="242" customFormat="false" ht="12.8" hidden="false" customHeight="false" outlineLevel="0" collapsed="false">
      <c r="A242" s="0" t="s">
        <v>550</v>
      </c>
      <c r="B242" s="0" t="s">
        <v>560</v>
      </c>
      <c r="C242" s="0" t="s">
        <v>552</v>
      </c>
      <c r="E242" s="0" t="s">
        <v>553</v>
      </c>
      <c r="F242" s="0" t="s">
        <v>554</v>
      </c>
      <c r="H242" s="0" t="n">
        <v>1699</v>
      </c>
      <c r="I242" s="0" t="s">
        <v>555</v>
      </c>
      <c r="J242" s="0" t="s">
        <v>36</v>
      </c>
      <c r="K242" s="0" t="s">
        <v>36</v>
      </c>
      <c r="Q242" s="0" t="s">
        <v>560</v>
      </c>
      <c r="R242" s="0" t="s">
        <v>556</v>
      </c>
      <c r="S242" s="0" t="s">
        <v>480</v>
      </c>
      <c r="T242" s="0" t="n">
        <v>3</v>
      </c>
      <c r="U242" s="0" t="s">
        <v>561</v>
      </c>
      <c r="V242" s="0" t="s">
        <v>562</v>
      </c>
      <c r="Z242" s="0" t="str">
        <f aca="false">HYPERLINK("http://lutemusic.org/composers/AScarlatti/augellin_vago_e_canoro/2_recit_1_pur_sensa_mai_VB.ft3")</f>
        <v>http://lutemusic.org/composers/AScarlatti/augellin_vago_e_canoro/2_recit_1_pur_sensa_mai_VB.ft3</v>
      </c>
      <c r="AA242" s="0" t="str">
        <f aca="false">HYPERLINK("http://lutemusic.org/composers/AScarlatti/augellin_vago_e_canoro/pdf/2_recit_1_pur_sensa_mai_VB.pdf")</f>
        <v>http://lutemusic.org/composers/AScarlatti/augellin_vago_e_canoro/pdf/2_recit_1_pur_sensa_mai_VB.pdf</v>
      </c>
      <c r="AB242" s="0" t="str">
        <f aca="false">HYPERLINK("http://lutemusic.org/composers/AScarlatti/augellin_vago_e_canoro/midi/2_recit_1_pur_sensa_mai_VB.mid")</f>
        <v>http://lutemusic.org/composers/AScarlatti/augellin_vago_e_canoro/midi/2_recit_1_pur_sensa_mai_VB.mid</v>
      </c>
      <c r="AC242" s="0" t="n">
        <v>1573937405</v>
      </c>
      <c r="AD242" s="0" t="n">
        <v>1586042061</v>
      </c>
    </row>
    <row r="243" customFormat="false" ht="12.8" hidden="false" customHeight="false" outlineLevel="0" collapsed="false">
      <c r="A243" s="0" t="s">
        <v>550</v>
      </c>
      <c r="B243" s="0" t="s">
        <v>560</v>
      </c>
      <c r="C243" s="0" t="s">
        <v>552</v>
      </c>
      <c r="E243" s="0" t="s">
        <v>553</v>
      </c>
      <c r="F243" s="0" t="s">
        <v>554</v>
      </c>
      <c r="H243" s="0" t="n">
        <v>1699</v>
      </c>
      <c r="I243" s="0" t="s">
        <v>555</v>
      </c>
      <c r="J243" s="0" t="s">
        <v>36</v>
      </c>
      <c r="K243" s="0" t="s">
        <v>36</v>
      </c>
      <c r="Q243" s="0" t="s">
        <v>560</v>
      </c>
      <c r="R243" s="0" t="s">
        <v>556</v>
      </c>
      <c r="S243" s="0" t="s">
        <v>480</v>
      </c>
      <c r="T243" s="0" t="n">
        <v>3</v>
      </c>
      <c r="U243" s="0" t="s">
        <v>561</v>
      </c>
      <c r="V243" s="0" t="s">
        <v>559</v>
      </c>
      <c r="Z243" s="0" t="str">
        <f aca="false">HYPERLINK("http://lutemusic.org/composers/AScarlatti/augellin_vago_e_canoro/2_recit_1_pur_sensa_mai_VT.ft3")</f>
        <v>http://lutemusic.org/composers/AScarlatti/augellin_vago_e_canoro/2_recit_1_pur_sensa_mai_VT.ft3</v>
      </c>
      <c r="AA243" s="0" t="str">
        <f aca="false">HYPERLINK("http://lutemusic.org/composers/AScarlatti/augellin_vago_e_canoro/pdf/2_recit_1_pur_sensa_mai_VT.pdf")</f>
        <v>http://lutemusic.org/composers/AScarlatti/augellin_vago_e_canoro/pdf/2_recit_1_pur_sensa_mai_VT.pdf</v>
      </c>
      <c r="AB243" s="0" t="str">
        <f aca="false">HYPERLINK("http://lutemusic.org/composers/AScarlatti/augellin_vago_e_canoro/midi/2_recit_1_pur_sensa_mai_VT.mid")</f>
        <v>http://lutemusic.org/composers/AScarlatti/augellin_vago_e_canoro/midi/2_recit_1_pur_sensa_mai_VT.mid</v>
      </c>
      <c r="AC243" s="0" t="n">
        <v>1573937405</v>
      </c>
      <c r="AD243" s="0" t="n">
        <v>1586042061</v>
      </c>
    </row>
    <row r="244" customFormat="false" ht="12.8" hidden="false" customHeight="false" outlineLevel="0" collapsed="false">
      <c r="A244" s="0" t="s">
        <v>550</v>
      </c>
      <c r="B244" s="0" t="s">
        <v>563</v>
      </c>
      <c r="C244" s="0" t="s">
        <v>552</v>
      </c>
      <c r="E244" s="0" t="s">
        <v>553</v>
      </c>
      <c r="F244" s="0" t="s">
        <v>554</v>
      </c>
      <c r="H244" s="0" t="n">
        <v>1699</v>
      </c>
      <c r="I244" s="0" t="s">
        <v>555</v>
      </c>
      <c r="J244" s="0" t="s">
        <v>36</v>
      </c>
      <c r="K244" s="0" t="s">
        <v>36</v>
      </c>
      <c r="Q244" s="0" t="s">
        <v>564</v>
      </c>
      <c r="R244" s="0" t="s">
        <v>556</v>
      </c>
      <c r="S244" s="0" t="s">
        <v>49</v>
      </c>
      <c r="T244" s="0" t="n">
        <v>3</v>
      </c>
      <c r="U244" s="0" t="s">
        <v>557</v>
      </c>
      <c r="V244" s="0" t="s">
        <v>40</v>
      </c>
      <c r="Z244" s="0" t="str">
        <f aca="false">HYPERLINK("http://lutemusic.org/composers/AScarlatti/augellin_vago_e_canoro/3_aria_2_io_t_intendo+ritornello_S.ft3")</f>
        <v>http://lutemusic.org/composers/AScarlatti/augellin_vago_e_canoro/3_aria_2_io_t_intendo+ritornello_S.ft3</v>
      </c>
      <c r="AA244" s="0" t="str">
        <f aca="false">HYPERLINK("http://lutemusic.org/composers/AScarlatti/augellin_vago_e_canoro/pdf/3_aria_2_io_t_intendo+ritornello_S.pdf")</f>
        <v>http://lutemusic.org/composers/AScarlatti/augellin_vago_e_canoro/pdf/3_aria_2_io_t_intendo+ritornello_S.pdf</v>
      </c>
      <c r="AB244" s="0" t="str">
        <f aca="false">HYPERLINK("http://lutemusic.org/composers/AScarlatti/augellin_vago_e_canoro/midi/3_aria_2_io_t_intendo+ritornello_S.mid")</f>
        <v>http://lutemusic.org/composers/AScarlatti/augellin_vago_e_canoro/midi/3_aria_2_io_t_intendo+ritornello_S.mid</v>
      </c>
      <c r="AC244" s="0" t="n">
        <v>1573937405</v>
      </c>
      <c r="AD244" s="0" t="n">
        <v>1586042061</v>
      </c>
    </row>
    <row r="245" customFormat="false" ht="12.8" hidden="false" customHeight="false" outlineLevel="0" collapsed="false">
      <c r="A245" s="0" t="s">
        <v>550</v>
      </c>
      <c r="B245" s="0" t="s">
        <v>565</v>
      </c>
      <c r="C245" s="0" t="s">
        <v>552</v>
      </c>
      <c r="E245" s="0" t="s">
        <v>553</v>
      </c>
      <c r="F245" s="0" t="s">
        <v>554</v>
      </c>
      <c r="H245" s="0" t="n">
        <v>1699</v>
      </c>
      <c r="I245" s="0" t="s">
        <v>555</v>
      </c>
      <c r="J245" s="0" t="s">
        <v>36</v>
      </c>
      <c r="K245" s="0" t="s">
        <v>36</v>
      </c>
      <c r="Q245" s="0" t="s">
        <v>566</v>
      </c>
      <c r="R245" s="0" t="s">
        <v>567</v>
      </c>
      <c r="S245" s="0" t="s">
        <v>49</v>
      </c>
      <c r="T245" s="0" t="n">
        <v>3</v>
      </c>
      <c r="U245" s="0" t="s">
        <v>557</v>
      </c>
      <c r="V245" s="0" t="s">
        <v>41</v>
      </c>
      <c r="Z245" s="0" t="str">
        <f aca="false">HYPERLINK("http://lutemusic.org/composers/AScarlatti/augellin_vago_e_canoro/3_aria_2_io_t_intendo+ritornello_T.ft3")</f>
        <v>http://lutemusic.org/composers/AScarlatti/augellin_vago_e_canoro/3_aria_2_io_t_intendo+ritornello_T.ft3</v>
      </c>
      <c r="AA245" s="0" t="str">
        <f aca="false">HYPERLINK("http://lutemusic.org/composers/AScarlatti/augellin_vago_e_canoro/pdf/3_aria_2_io_t_intendo+ritornello_T.pdf")</f>
        <v>http://lutemusic.org/composers/AScarlatti/augellin_vago_e_canoro/pdf/3_aria_2_io_t_intendo+ritornello_T.pdf</v>
      </c>
      <c r="AB245" s="0" t="str">
        <f aca="false">HYPERLINK("http://lutemusic.org/composers/AScarlatti/augellin_vago_e_canoro/midi/3_aria_2_io_t_intendo+ritornello_T.mid")</f>
        <v>http://lutemusic.org/composers/AScarlatti/augellin_vago_e_canoro/midi/3_aria_2_io_t_intendo+ritornello_T.mid</v>
      </c>
      <c r="AC245" s="0" t="n">
        <v>1573937405</v>
      </c>
      <c r="AD245" s="0" t="n">
        <v>1586042061</v>
      </c>
    </row>
    <row r="246" customFormat="false" ht="12.8" hidden="false" customHeight="false" outlineLevel="0" collapsed="false">
      <c r="A246" s="0" t="s">
        <v>550</v>
      </c>
      <c r="B246" s="0" t="s">
        <v>565</v>
      </c>
      <c r="C246" s="0" t="s">
        <v>552</v>
      </c>
      <c r="E246" s="0" t="s">
        <v>553</v>
      </c>
      <c r="F246" s="0" t="s">
        <v>554</v>
      </c>
      <c r="H246" s="0" t="n">
        <v>1699</v>
      </c>
      <c r="I246" s="0" t="s">
        <v>555</v>
      </c>
      <c r="J246" s="0" t="s">
        <v>36</v>
      </c>
      <c r="K246" s="0" t="s">
        <v>36</v>
      </c>
      <c r="Q246" s="0" t="s">
        <v>564</v>
      </c>
      <c r="R246" s="0" t="s">
        <v>556</v>
      </c>
      <c r="S246" s="0" t="s">
        <v>49</v>
      </c>
      <c r="T246" s="0" t="n">
        <v>3</v>
      </c>
      <c r="U246" s="0" t="s">
        <v>557</v>
      </c>
      <c r="V246" s="0" t="s">
        <v>562</v>
      </c>
      <c r="Z246" s="0" t="str">
        <f aca="false">HYPERLINK("http://lutemusic.org/composers/AScarlatti/augellin_vago_e_canoro/3_aria_2_io_t_intendo+ritornello_VB.ft3")</f>
        <v>http://lutemusic.org/composers/AScarlatti/augellin_vago_e_canoro/3_aria_2_io_t_intendo+ritornello_VB.ft3</v>
      </c>
      <c r="AA246" s="0" t="str">
        <f aca="false">HYPERLINK("http://lutemusic.org/composers/AScarlatti/augellin_vago_e_canoro/pdf/3_aria_2_io_t_intendo+ritornello_VB.pdf")</f>
        <v>http://lutemusic.org/composers/AScarlatti/augellin_vago_e_canoro/pdf/3_aria_2_io_t_intendo+ritornello_VB.pdf</v>
      </c>
      <c r="AB246" s="0" t="str">
        <f aca="false">HYPERLINK("http://lutemusic.org/composers/AScarlatti/augellin_vago_e_canoro/midi/3_aria_2_io_t_intendo+ritornello_VB.mid")</f>
        <v>http://lutemusic.org/composers/AScarlatti/augellin_vago_e_canoro/midi/3_aria_2_io_t_intendo+ritornello_VB.mid</v>
      </c>
      <c r="AC246" s="0" t="n">
        <v>1573937405</v>
      </c>
      <c r="AD246" s="0" t="n">
        <v>1586042061</v>
      </c>
    </row>
    <row r="247" customFormat="false" ht="12.8" hidden="false" customHeight="false" outlineLevel="0" collapsed="false">
      <c r="A247" s="0" t="s">
        <v>550</v>
      </c>
      <c r="B247" s="0" t="s">
        <v>565</v>
      </c>
      <c r="C247" s="0" t="s">
        <v>552</v>
      </c>
      <c r="E247" s="0" t="s">
        <v>553</v>
      </c>
      <c r="F247" s="0" t="s">
        <v>554</v>
      </c>
      <c r="H247" s="0" t="n">
        <v>1699</v>
      </c>
      <c r="I247" s="0" t="s">
        <v>555</v>
      </c>
      <c r="J247" s="0" t="s">
        <v>36</v>
      </c>
      <c r="K247" s="0" t="s">
        <v>36</v>
      </c>
      <c r="Q247" s="0" t="s">
        <v>564</v>
      </c>
      <c r="R247" s="0" t="s">
        <v>556</v>
      </c>
      <c r="S247" s="0" t="s">
        <v>49</v>
      </c>
      <c r="T247" s="0" t="n">
        <v>3</v>
      </c>
      <c r="U247" s="0" t="s">
        <v>557</v>
      </c>
      <c r="V247" s="0" t="s">
        <v>559</v>
      </c>
      <c r="Z247" s="0" t="str">
        <f aca="false">HYPERLINK("http://lutemusic.org/composers/AScarlatti/augellin_vago_e_canoro/3_aria_2_io_t_intendo+ritornello_VT.ft3")</f>
        <v>http://lutemusic.org/composers/AScarlatti/augellin_vago_e_canoro/3_aria_2_io_t_intendo+ritornello_VT.ft3</v>
      </c>
      <c r="AA247" s="0" t="str">
        <f aca="false">HYPERLINK("http://lutemusic.org/composers/AScarlatti/augellin_vago_e_canoro/pdf/3_aria_2_io_t_intendo+ritornello_VT.pdf")</f>
        <v>http://lutemusic.org/composers/AScarlatti/augellin_vago_e_canoro/pdf/3_aria_2_io_t_intendo+ritornello_VT.pdf</v>
      </c>
      <c r="AB247" s="0" t="str">
        <f aca="false">HYPERLINK("http://lutemusic.org/composers/AScarlatti/augellin_vago_e_canoro/midi/3_aria_2_io_t_intendo+ritornello_VT.mid")</f>
        <v>http://lutemusic.org/composers/AScarlatti/augellin_vago_e_canoro/midi/3_aria_2_io_t_intendo+ritornello_VT.mid</v>
      </c>
      <c r="AC247" s="0" t="n">
        <v>1573937405</v>
      </c>
      <c r="AD247" s="0" t="n">
        <v>1586042061</v>
      </c>
    </row>
    <row r="248" customFormat="false" ht="12.8" hidden="false" customHeight="false" outlineLevel="0" collapsed="false">
      <c r="A248" s="0" t="s">
        <v>550</v>
      </c>
      <c r="B248" s="0" t="s">
        <v>568</v>
      </c>
      <c r="C248" s="0" t="s">
        <v>552</v>
      </c>
      <c r="E248" s="0" t="s">
        <v>553</v>
      </c>
      <c r="F248" s="0" t="s">
        <v>554</v>
      </c>
      <c r="H248" s="0" t="n">
        <v>1699</v>
      </c>
      <c r="I248" s="0" t="s">
        <v>555</v>
      </c>
      <c r="J248" s="0" t="s">
        <v>36</v>
      </c>
      <c r="K248" s="0" t="s">
        <v>36</v>
      </c>
      <c r="Q248" s="0" t="s">
        <v>568</v>
      </c>
      <c r="R248" s="0" t="s">
        <v>569</v>
      </c>
      <c r="S248" s="0" t="s">
        <v>62</v>
      </c>
      <c r="T248" s="0" t="n">
        <v>3</v>
      </c>
      <c r="U248" s="0" t="s">
        <v>561</v>
      </c>
      <c r="V248" s="0" t="s">
        <v>570</v>
      </c>
      <c r="Z248" s="0" t="str">
        <f aca="false">HYPERLINK("http://lutemusic.org/composers/AScarlatti/augellin_vago_e_canoro/4_recit_2_ma_del_tuo_duol_fatta_P.ft3")</f>
        <v>http://lutemusic.org/composers/AScarlatti/augellin_vago_e_canoro/4_recit_2_ma_del_tuo_duol_fatta_P.ft3</v>
      </c>
      <c r="AA248" s="0" t="str">
        <f aca="false">HYPERLINK("http://lutemusic.org/composers/AScarlatti/augellin_vago_e_canoro/pdf/4_recit_2_ma_del_tuo_duol_fatta_P.pdf")</f>
        <v>http://lutemusic.org/composers/AScarlatti/augellin_vago_e_canoro/pdf/4_recit_2_ma_del_tuo_duol_fatta_P.pdf</v>
      </c>
      <c r="AB248" s="0" t="str">
        <f aca="false">HYPERLINK("http://lutemusic.org/composers/AScarlatti/augellin_vago_e_canoro/midi/4_recit_2_ma_del_tuo_duol_fatta_P.mid")</f>
        <v>http://lutemusic.org/composers/AScarlatti/augellin_vago_e_canoro/midi/4_recit_2_ma_del_tuo_duol_fatta_P.mid</v>
      </c>
      <c r="AC248" s="0" t="n">
        <v>1573937405</v>
      </c>
      <c r="AD248" s="0" t="n">
        <v>1586042061</v>
      </c>
    </row>
    <row r="249" customFormat="false" ht="12.8" hidden="false" customHeight="false" outlineLevel="0" collapsed="false">
      <c r="A249" s="0" t="s">
        <v>550</v>
      </c>
      <c r="B249" s="0" t="s">
        <v>568</v>
      </c>
      <c r="C249" s="0" t="s">
        <v>552</v>
      </c>
      <c r="E249" s="0" t="s">
        <v>553</v>
      </c>
      <c r="F249" s="0" t="s">
        <v>554</v>
      </c>
      <c r="H249" s="0" t="n">
        <v>1699</v>
      </c>
      <c r="I249" s="0" t="s">
        <v>555</v>
      </c>
      <c r="J249" s="0" t="s">
        <v>36</v>
      </c>
      <c r="K249" s="0" t="s">
        <v>36</v>
      </c>
      <c r="Q249" s="0" t="s">
        <v>568</v>
      </c>
      <c r="R249" s="0" t="s">
        <v>569</v>
      </c>
      <c r="S249" s="0" t="s">
        <v>62</v>
      </c>
      <c r="T249" s="0" t="n">
        <v>3</v>
      </c>
      <c r="U249" s="0" t="s">
        <v>561</v>
      </c>
      <c r="V249" s="0" t="s">
        <v>40</v>
      </c>
      <c r="Z249" s="0" t="str">
        <f aca="false">HYPERLINK("http://lutemusic.org/composers/AScarlatti/augellin_vago_e_canoro/4_recit_2_ma_del_tuo_duol_fatta_S.ft3")</f>
        <v>http://lutemusic.org/composers/AScarlatti/augellin_vago_e_canoro/4_recit_2_ma_del_tuo_duol_fatta_S.ft3</v>
      </c>
      <c r="AA249" s="0" t="str">
        <f aca="false">HYPERLINK("http://lutemusic.org/composers/AScarlatti/augellin_vago_e_canoro/pdf/4_recit_2_ma_del_tuo_duol_fatta_S.pdf")</f>
        <v>http://lutemusic.org/composers/AScarlatti/augellin_vago_e_canoro/pdf/4_recit_2_ma_del_tuo_duol_fatta_S.pdf</v>
      </c>
      <c r="AB249" s="0" t="str">
        <f aca="false">HYPERLINK("http://lutemusic.org/composers/AScarlatti/augellin_vago_e_canoro/midi/4_recit_2_ma_del_tuo_duol_fatta_S.mid")</f>
        <v>http://lutemusic.org/composers/AScarlatti/augellin_vago_e_canoro/midi/4_recit_2_ma_del_tuo_duol_fatta_S.mid</v>
      </c>
      <c r="AC249" s="0" t="n">
        <v>1573937405</v>
      </c>
      <c r="AD249" s="0" t="n">
        <v>1586042061</v>
      </c>
    </row>
    <row r="250" customFormat="false" ht="12.8" hidden="false" customHeight="false" outlineLevel="0" collapsed="false">
      <c r="A250" s="0" t="s">
        <v>550</v>
      </c>
      <c r="B250" s="0" t="s">
        <v>568</v>
      </c>
      <c r="C250" s="0" t="s">
        <v>552</v>
      </c>
      <c r="E250" s="0" t="s">
        <v>553</v>
      </c>
      <c r="F250" s="0" t="s">
        <v>554</v>
      </c>
      <c r="H250" s="0" t="n">
        <v>1699</v>
      </c>
      <c r="I250" s="0" t="s">
        <v>555</v>
      </c>
      <c r="J250" s="0" t="s">
        <v>36</v>
      </c>
      <c r="K250" s="0" t="s">
        <v>36</v>
      </c>
      <c r="Q250" s="0" t="s">
        <v>568</v>
      </c>
      <c r="R250" s="0" t="s">
        <v>569</v>
      </c>
      <c r="S250" s="0" t="s">
        <v>62</v>
      </c>
      <c r="T250" s="0" t="n">
        <v>3</v>
      </c>
      <c r="U250" s="0" t="s">
        <v>561</v>
      </c>
      <c r="V250" s="0" t="s">
        <v>41</v>
      </c>
      <c r="Z250" s="0" t="str">
        <f aca="false">HYPERLINK("http://lutemusic.org/composers/AScarlatti/augellin_vago_e_canoro/4_recit_2_ma_del_tuo_duol_fatta_T.ft3")</f>
        <v>http://lutemusic.org/composers/AScarlatti/augellin_vago_e_canoro/4_recit_2_ma_del_tuo_duol_fatta_T.ft3</v>
      </c>
      <c r="AA250" s="0" t="str">
        <f aca="false">HYPERLINK("http://lutemusic.org/composers/AScarlatti/augellin_vago_e_canoro/pdf/4_recit_2_ma_del_tuo_duol_fatta_T.pdf")</f>
        <v>http://lutemusic.org/composers/AScarlatti/augellin_vago_e_canoro/pdf/4_recit_2_ma_del_tuo_duol_fatta_T.pdf</v>
      </c>
      <c r="AB250" s="0" t="str">
        <f aca="false">HYPERLINK("http://lutemusic.org/composers/AScarlatti/augellin_vago_e_canoro/midi/4_recit_2_ma_del_tuo_duol_fatta_T.mid")</f>
        <v>http://lutemusic.org/composers/AScarlatti/augellin_vago_e_canoro/midi/4_recit_2_ma_del_tuo_duol_fatta_T.mid</v>
      </c>
      <c r="AC250" s="0" t="n">
        <v>1573937405</v>
      </c>
      <c r="AD250" s="0" t="n">
        <v>1586042061</v>
      </c>
    </row>
    <row r="251" customFormat="false" ht="12.8" hidden="false" customHeight="false" outlineLevel="0" collapsed="false">
      <c r="A251" s="0" t="s">
        <v>550</v>
      </c>
      <c r="B251" s="0" t="s">
        <v>568</v>
      </c>
      <c r="C251" s="0" t="s">
        <v>552</v>
      </c>
      <c r="E251" s="0" t="s">
        <v>553</v>
      </c>
      <c r="F251" s="0" t="s">
        <v>554</v>
      </c>
      <c r="H251" s="0" t="n">
        <v>1699</v>
      </c>
      <c r="I251" s="0" t="s">
        <v>555</v>
      </c>
      <c r="J251" s="0" t="s">
        <v>36</v>
      </c>
      <c r="K251" s="0" t="s">
        <v>36</v>
      </c>
      <c r="Q251" s="0" t="s">
        <v>568</v>
      </c>
      <c r="R251" s="0" t="s">
        <v>569</v>
      </c>
      <c r="S251" s="0" t="s">
        <v>62</v>
      </c>
      <c r="T251" s="0" t="n">
        <v>3</v>
      </c>
      <c r="U251" s="0" t="s">
        <v>561</v>
      </c>
      <c r="V251" s="0" t="s">
        <v>562</v>
      </c>
      <c r="Z251" s="0" t="str">
        <f aca="false">HYPERLINK("http://lutemusic.org/composers/AScarlatti/augellin_vago_e_canoro/4_recit_2_ma_del_tuo_duol_fatta_VB.ft3")</f>
        <v>http://lutemusic.org/composers/AScarlatti/augellin_vago_e_canoro/4_recit_2_ma_del_tuo_duol_fatta_VB.ft3</v>
      </c>
      <c r="AA251" s="0" t="str">
        <f aca="false">HYPERLINK("http://lutemusic.org/composers/AScarlatti/augellin_vago_e_canoro/pdf/4_recit_2_ma_del_tuo_duol_fatta_VB.pdf")</f>
        <v>http://lutemusic.org/composers/AScarlatti/augellin_vago_e_canoro/pdf/4_recit_2_ma_del_tuo_duol_fatta_VB.pdf</v>
      </c>
      <c r="AB251" s="0" t="str">
        <f aca="false">HYPERLINK("http://lutemusic.org/composers/AScarlatti/augellin_vago_e_canoro/midi/4_recit_2_ma_del_tuo_duol_fatta_VB.mid")</f>
        <v>http://lutemusic.org/composers/AScarlatti/augellin_vago_e_canoro/midi/4_recit_2_ma_del_tuo_duol_fatta_VB.mid</v>
      </c>
      <c r="AC251" s="0" t="n">
        <v>1573937405</v>
      </c>
      <c r="AD251" s="0" t="n">
        <v>1586042061</v>
      </c>
    </row>
    <row r="252" customFormat="false" ht="12.8" hidden="false" customHeight="false" outlineLevel="0" collapsed="false">
      <c r="A252" s="0" t="s">
        <v>550</v>
      </c>
      <c r="B252" s="0" t="s">
        <v>568</v>
      </c>
      <c r="C252" s="0" t="s">
        <v>552</v>
      </c>
      <c r="E252" s="0" t="s">
        <v>553</v>
      </c>
      <c r="F252" s="0" t="s">
        <v>554</v>
      </c>
      <c r="H252" s="0" t="n">
        <v>1699</v>
      </c>
      <c r="I252" s="0" t="s">
        <v>555</v>
      </c>
      <c r="J252" s="0" t="s">
        <v>36</v>
      </c>
      <c r="K252" s="0" t="s">
        <v>36</v>
      </c>
      <c r="Q252" s="0" t="s">
        <v>568</v>
      </c>
      <c r="R252" s="0" t="s">
        <v>569</v>
      </c>
      <c r="S252" s="0" t="s">
        <v>62</v>
      </c>
      <c r="T252" s="0" t="n">
        <v>3</v>
      </c>
      <c r="U252" s="0" t="s">
        <v>561</v>
      </c>
      <c r="V252" s="0" t="s">
        <v>40</v>
      </c>
      <c r="Z252" s="0" t="str">
        <f aca="false">HYPERLINK("http://lutemusic.org/composers/AScarlatti/augellin_vago_e_canoro/4_recit_2_ma_del_tuo_duol_fatta_VT.ft3")</f>
        <v>http://lutemusic.org/composers/AScarlatti/augellin_vago_e_canoro/4_recit_2_ma_del_tuo_duol_fatta_VT.ft3</v>
      </c>
      <c r="AA252" s="0" t="str">
        <f aca="false">HYPERLINK("http://lutemusic.org/composers/AScarlatti/augellin_vago_e_canoro/pdf/4_recit_2_ma_del_tuo_duol_fatta_VT.pdf")</f>
        <v>http://lutemusic.org/composers/AScarlatti/augellin_vago_e_canoro/pdf/4_recit_2_ma_del_tuo_duol_fatta_VT.pdf</v>
      </c>
      <c r="AB252" s="0" t="str">
        <f aca="false">HYPERLINK("http://lutemusic.org/composers/AScarlatti/augellin_vago_e_canoro/midi/4_recit_2_ma_del_tuo_duol_fatta_VT.mid")</f>
        <v>http://lutemusic.org/composers/AScarlatti/augellin_vago_e_canoro/midi/4_recit_2_ma_del_tuo_duol_fatta_VT.mid</v>
      </c>
      <c r="AC252" s="0" t="n">
        <v>1573937405</v>
      </c>
      <c r="AD252" s="0" t="n">
        <v>1586042061</v>
      </c>
    </row>
    <row r="253" customFormat="false" ht="12.8" hidden="false" customHeight="false" outlineLevel="0" collapsed="false">
      <c r="A253" s="0" t="s">
        <v>550</v>
      </c>
      <c r="B253" s="0" t="s">
        <v>571</v>
      </c>
      <c r="C253" s="0" t="s">
        <v>552</v>
      </c>
      <c r="E253" s="0" t="s">
        <v>553</v>
      </c>
      <c r="F253" s="0" t="s">
        <v>554</v>
      </c>
      <c r="H253" s="0" t="n">
        <v>1699</v>
      </c>
      <c r="I253" s="0" t="s">
        <v>555</v>
      </c>
      <c r="J253" s="0" t="s">
        <v>36</v>
      </c>
      <c r="K253" s="0" t="s">
        <v>36</v>
      </c>
      <c r="Q253" s="0" t="s">
        <v>571</v>
      </c>
      <c r="R253" s="0" t="s">
        <v>556</v>
      </c>
      <c r="S253" s="0" t="s">
        <v>62</v>
      </c>
      <c r="T253" s="0" t="n">
        <v>3</v>
      </c>
      <c r="U253" s="0" t="s">
        <v>557</v>
      </c>
      <c r="V253" s="0" t="s">
        <v>40</v>
      </c>
      <c r="Z253" s="0" t="str">
        <f aca="false">HYPERLINK("http://lutemusic.org/composers/AScarlatti/augellin_vago_e_canoro/5_aria_3_quanto_invidio_S.ft3")</f>
        <v>http://lutemusic.org/composers/AScarlatti/augellin_vago_e_canoro/5_aria_3_quanto_invidio_S.ft3</v>
      </c>
      <c r="AA253" s="0" t="str">
        <f aca="false">HYPERLINK("http://lutemusic.org/composers/AScarlatti/augellin_vago_e_canoro/pdf/5_aria_3_quanto_invidio_S.pdf")</f>
        <v>http://lutemusic.org/composers/AScarlatti/augellin_vago_e_canoro/pdf/5_aria_3_quanto_invidio_S.pdf</v>
      </c>
      <c r="AB253" s="0" t="str">
        <f aca="false">HYPERLINK("http://lutemusic.org/composers/AScarlatti/augellin_vago_e_canoro/midi/5_aria_3_quanto_invidio_S.mid")</f>
        <v>http://lutemusic.org/composers/AScarlatti/augellin_vago_e_canoro/midi/5_aria_3_quanto_invidio_S.mid</v>
      </c>
      <c r="AC253" s="0" t="n">
        <v>1573937405</v>
      </c>
      <c r="AD253" s="0" t="n">
        <v>1586042061</v>
      </c>
    </row>
    <row r="254" customFormat="false" ht="12.8" hidden="false" customHeight="false" outlineLevel="0" collapsed="false">
      <c r="A254" s="0" t="s">
        <v>550</v>
      </c>
      <c r="B254" s="0" t="s">
        <v>571</v>
      </c>
      <c r="C254" s="0" t="s">
        <v>552</v>
      </c>
      <c r="E254" s="0" t="s">
        <v>553</v>
      </c>
      <c r="F254" s="0" t="s">
        <v>554</v>
      </c>
      <c r="H254" s="0" t="n">
        <v>1699</v>
      </c>
      <c r="I254" s="0" t="s">
        <v>555</v>
      </c>
      <c r="J254" s="0" t="s">
        <v>36</v>
      </c>
      <c r="K254" s="0" t="s">
        <v>36</v>
      </c>
      <c r="Q254" s="0" t="s">
        <v>571</v>
      </c>
      <c r="R254" s="0" t="s">
        <v>556</v>
      </c>
      <c r="S254" s="0" t="s">
        <v>62</v>
      </c>
      <c r="T254" s="0" t="n">
        <v>3</v>
      </c>
      <c r="U254" s="0" t="s">
        <v>557</v>
      </c>
      <c r="V254" s="0" t="s">
        <v>41</v>
      </c>
      <c r="Z254" s="0" t="str">
        <f aca="false">HYPERLINK("http://lutemusic.org/composers/AScarlatti/augellin_vago_e_canoro/5_aria_3_quanto_invidio_T.ft3")</f>
        <v>http://lutemusic.org/composers/AScarlatti/augellin_vago_e_canoro/5_aria_3_quanto_invidio_T.ft3</v>
      </c>
      <c r="AA254" s="0" t="str">
        <f aca="false">HYPERLINK("http://lutemusic.org/composers/AScarlatti/augellin_vago_e_canoro/pdf/5_aria_3_quanto_invidio_T.pdf")</f>
        <v>http://lutemusic.org/composers/AScarlatti/augellin_vago_e_canoro/pdf/5_aria_3_quanto_invidio_T.pdf</v>
      </c>
      <c r="AB254" s="0" t="str">
        <f aca="false">HYPERLINK("http://lutemusic.org/composers/AScarlatti/augellin_vago_e_canoro/midi/5_aria_3_quanto_invidio_T.mid")</f>
        <v>http://lutemusic.org/composers/AScarlatti/augellin_vago_e_canoro/midi/5_aria_3_quanto_invidio_T.mid</v>
      </c>
      <c r="AC254" s="0" t="n">
        <v>1573937405</v>
      </c>
      <c r="AD254" s="0" t="n">
        <v>1586042061</v>
      </c>
    </row>
    <row r="255" customFormat="false" ht="12.8" hidden="false" customHeight="false" outlineLevel="0" collapsed="false">
      <c r="A255" s="0" t="s">
        <v>550</v>
      </c>
      <c r="B255" s="0" t="s">
        <v>571</v>
      </c>
      <c r="C255" s="0" t="s">
        <v>552</v>
      </c>
      <c r="E255" s="0" t="s">
        <v>553</v>
      </c>
      <c r="F255" s="0" t="s">
        <v>554</v>
      </c>
      <c r="H255" s="0" t="n">
        <v>1699</v>
      </c>
      <c r="I255" s="0" t="s">
        <v>555</v>
      </c>
      <c r="J255" s="0" t="s">
        <v>36</v>
      </c>
      <c r="K255" s="0" t="s">
        <v>36</v>
      </c>
      <c r="Q255" s="0" t="s">
        <v>571</v>
      </c>
      <c r="R255" s="0" t="s">
        <v>556</v>
      </c>
      <c r="S255" s="0" t="s">
        <v>62</v>
      </c>
      <c r="T255" s="0" t="n">
        <v>3</v>
      </c>
      <c r="U255" s="0" t="s">
        <v>557</v>
      </c>
      <c r="V255" s="0" t="s">
        <v>562</v>
      </c>
      <c r="Z255" s="0" t="str">
        <f aca="false">HYPERLINK("http://lutemusic.org/composers/AScarlatti/augellin_vago_e_canoro/5_aria_3_quanto_invidio_VB.ft3")</f>
        <v>http://lutemusic.org/composers/AScarlatti/augellin_vago_e_canoro/5_aria_3_quanto_invidio_VB.ft3</v>
      </c>
      <c r="AA255" s="0" t="str">
        <f aca="false">HYPERLINK("http://lutemusic.org/composers/AScarlatti/augellin_vago_e_canoro/pdf/5_aria_3_quanto_invidio_VB.pdf")</f>
        <v>http://lutemusic.org/composers/AScarlatti/augellin_vago_e_canoro/pdf/5_aria_3_quanto_invidio_VB.pdf</v>
      </c>
      <c r="AB255" s="0" t="str">
        <f aca="false">HYPERLINK("http://lutemusic.org/composers/AScarlatti/augellin_vago_e_canoro/midi/5_aria_3_quanto_invidio_VB.mid")</f>
        <v>http://lutemusic.org/composers/AScarlatti/augellin_vago_e_canoro/midi/5_aria_3_quanto_invidio_VB.mid</v>
      </c>
      <c r="AC255" s="0" t="n">
        <v>1573937405</v>
      </c>
      <c r="AD255" s="0" t="n">
        <v>1586042061</v>
      </c>
    </row>
    <row r="256" customFormat="false" ht="12.8" hidden="false" customHeight="false" outlineLevel="0" collapsed="false">
      <c r="A256" s="0" t="s">
        <v>550</v>
      </c>
      <c r="B256" s="0" t="s">
        <v>571</v>
      </c>
      <c r="C256" s="0" t="s">
        <v>552</v>
      </c>
      <c r="E256" s="0" t="s">
        <v>553</v>
      </c>
      <c r="F256" s="0" t="s">
        <v>554</v>
      </c>
      <c r="H256" s="0" t="n">
        <v>1699</v>
      </c>
      <c r="I256" s="0" t="s">
        <v>555</v>
      </c>
      <c r="J256" s="0" t="s">
        <v>36</v>
      </c>
      <c r="K256" s="0" t="s">
        <v>36</v>
      </c>
      <c r="Q256" s="0" t="s">
        <v>571</v>
      </c>
      <c r="R256" s="0" t="s">
        <v>556</v>
      </c>
      <c r="S256" s="0" t="s">
        <v>62</v>
      </c>
      <c r="T256" s="0" t="n">
        <v>3</v>
      </c>
      <c r="U256" s="0" t="s">
        <v>557</v>
      </c>
      <c r="V256" s="0" t="s">
        <v>570</v>
      </c>
      <c r="Z256" s="0" t="str">
        <f aca="false">HYPERLINK("http://lutemusic.org/composers/AScarlatti/augellin_vago_e_canoro/5_aria_3_quanto_invidio_VT.ft3")</f>
        <v>http://lutemusic.org/composers/AScarlatti/augellin_vago_e_canoro/5_aria_3_quanto_invidio_VT.ft3</v>
      </c>
      <c r="AA256" s="0" t="str">
        <f aca="false">HYPERLINK("http://lutemusic.org/composers/AScarlatti/augellin_vago_e_canoro/pdf/5_aria_3_quanto_invidio_VT.pdf")</f>
        <v>http://lutemusic.org/composers/AScarlatti/augellin_vago_e_canoro/pdf/5_aria_3_quanto_invidio_VT.pdf</v>
      </c>
      <c r="AB256" s="0" t="str">
        <f aca="false">HYPERLINK("http://lutemusic.org/composers/AScarlatti/augellin_vago_e_canoro/midi/5_aria_3_quanto_invidio_VT.mid")</f>
        <v>http://lutemusic.org/composers/AScarlatti/augellin_vago_e_canoro/midi/5_aria_3_quanto_invidio_VT.mid</v>
      </c>
      <c r="AC256" s="0" t="n">
        <v>1573937405</v>
      </c>
      <c r="AD256" s="0" t="n">
        <v>1586042061</v>
      </c>
    </row>
    <row r="257" customFormat="false" ht="12.8" hidden="false" customHeight="false" outlineLevel="0" collapsed="false">
      <c r="A257" s="0" t="s">
        <v>550</v>
      </c>
      <c r="B257" s="0" t="s">
        <v>572</v>
      </c>
      <c r="C257" s="0" t="s">
        <v>552</v>
      </c>
      <c r="E257" s="0" t="s">
        <v>553</v>
      </c>
      <c r="F257" s="0" t="s">
        <v>554</v>
      </c>
      <c r="H257" s="0" t="n">
        <v>1699</v>
      </c>
      <c r="I257" s="0" t="s">
        <v>555</v>
      </c>
      <c r="J257" s="0" t="s">
        <v>36</v>
      </c>
      <c r="K257" s="0" t="s">
        <v>36</v>
      </c>
      <c r="Q257" s="0" t="s">
        <v>572</v>
      </c>
      <c r="R257" s="0" t="s">
        <v>573</v>
      </c>
      <c r="S257" s="0" t="s">
        <v>49</v>
      </c>
      <c r="T257" s="0" t="n">
        <v>3</v>
      </c>
      <c r="U257" s="0" t="s">
        <v>574</v>
      </c>
      <c r="V257" s="0" t="s">
        <v>40</v>
      </c>
      <c r="Z257" s="0" t="str">
        <f aca="false">HYPERLINK("http://lutemusic.org/composers/AScarlatti/augellin_vago_e_canoro/6_ritornello_S.ft3")</f>
        <v>http://lutemusic.org/composers/AScarlatti/augellin_vago_e_canoro/6_ritornello_S.ft3</v>
      </c>
      <c r="AA257" s="0" t="str">
        <f aca="false">HYPERLINK("http://lutemusic.org/composers/AScarlatti/augellin_vago_e_canoro/pdf/6_ritornello_S.pdf")</f>
        <v>http://lutemusic.org/composers/AScarlatti/augellin_vago_e_canoro/pdf/6_ritornello_S.pdf</v>
      </c>
      <c r="AB257" s="0" t="str">
        <f aca="false">HYPERLINK("http://lutemusic.org/composers/AScarlatti/augellin_vago_e_canoro/midi/6_ritornello_S.mid")</f>
        <v>http://lutemusic.org/composers/AScarlatti/augellin_vago_e_canoro/midi/6_ritornello_S.mid</v>
      </c>
      <c r="AC257" s="0" t="n">
        <v>1573937405</v>
      </c>
      <c r="AD257" s="0" t="n">
        <v>1586042061</v>
      </c>
    </row>
    <row r="258" customFormat="false" ht="12.8" hidden="false" customHeight="false" outlineLevel="0" collapsed="false">
      <c r="A258" s="0" t="s">
        <v>575</v>
      </c>
      <c r="B258" s="0" t="s">
        <v>576</v>
      </c>
      <c r="C258" s="0" t="s">
        <v>552</v>
      </c>
      <c r="E258" s="0" t="s">
        <v>33</v>
      </c>
      <c r="F258" s="0" t="s">
        <v>577</v>
      </c>
      <c r="H258" s="0" t="s">
        <v>578</v>
      </c>
      <c r="I258" s="0" t="s">
        <v>579</v>
      </c>
      <c r="J258" s="0" t="s">
        <v>36</v>
      </c>
      <c r="K258" s="0" t="s">
        <v>36</v>
      </c>
      <c r="P258" s="0" t="s">
        <v>580</v>
      </c>
      <c r="Q258" s="0" t="s">
        <v>576</v>
      </c>
      <c r="R258" s="0" t="s">
        <v>581</v>
      </c>
      <c r="S258" s="0" t="s">
        <v>480</v>
      </c>
      <c r="T258" s="0" t="n">
        <v>5</v>
      </c>
      <c r="U258" s="0" t="s">
        <v>582</v>
      </c>
      <c r="V258" s="0" t="s">
        <v>583</v>
      </c>
      <c r="Z258" s="0" t="str">
        <f aca="false">HYPERLINK("http://lutemusic.org/composers/AScarlatti/Miha_diviso_il_cor/miha_diviso_01_adagio.ft3")</f>
        <v>http://lutemusic.org/composers/AScarlatti/Miha_diviso_il_cor/miha_diviso_01_adagio.ft3</v>
      </c>
      <c r="AA258" s="0" t="str">
        <f aca="false">HYPERLINK("http://lutemusic.org/composers/AScarlatti/Miha_diviso_il_cor/pdf/miha_diviso_01_adagio.pdf")</f>
        <v>http://lutemusic.org/composers/AScarlatti/Miha_diviso_il_cor/pdf/miha_diviso_01_adagio.pdf</v>
      </c>
      <c r="AB258" s="0" t="str">
        <f aca="false">HYPERLINK("http://lutemusic.org/composers/AScarlatti/Miha_diviso_il_cor/midi/miha_diviso_01_adagio.mid")</f>
        <v>http://lutemusic.org/composers/AScarlatti/Miha_diviso_il_cor/midi/miha_diviso_01_adagio.mid</v>
      </c>
      <c r="AC258" s="0" t="n">
        <v>1573937405</v>
      </c>
      <c r="AD258" s="0" t="n">
        <v>1586042061</v>
      </c>
    </row>
    <row r="259" customFormat="false" ht="12.8" hidden="false" customHeight="false" outlineLevel="0" collapsed="false">
      <c r="A259" s="0" t="s">
        <v>575</v>
      </c>
      <c r="B259" s="0" t="s">
        <v>576</v>
      </c>
      <c r="C259" s="0" t="s">
        <v>552</v>
      </c>
      <c r="E259" s="0" t="s">
        <v>33</v>
      </c>
      <c r="F259" s="0" t="s">
        <v>577</v>
      </c>
      <c r="H259" s="0" t="s">
        <v>578</v>
      </c>
      <c r="I259" s="0" t="s">
        <v>579</v>
      </c>
      <c r="J259" s="0" t="s">
        <v>36</v>
      </c>
      <c r="K259" s="0" t="s">
        <v>36</v>
      </c>
      <c r="P259" s="0" t="s">
        <v>580</v>
      </c>
      <c r="Q259" s="0" t="s">
        <v>576</v>
      </c>
      <c r="R259" s="0" t="s">
        <v>581</v>
      </c>
      <c r="S259" s="0" t="s">
        <v>480</v>
      </c>
      <c r="T259" s="0" t="n">
        <v>5</v>
      </c>
      <c r="U259" s="0" t="s">
        <v>582</v>
      </c>
      <c r="V259" s="0" t="s">
        <v>41</v>
      </c>
      <c r="Z259" s="0" t="str">
        <f aca="false">HYPERLINK("http://lutemusic.org/composers/AScarlatti/Miha_diviso_il_cor/miha_diviso_01_adagio_T.ft3")</f>
        <v>http://lutemusic.org/composers/AScarlatti/Miha_diviso_il_cor/miha_diviso_01_adagio_T.ft3</v>
      </c>
      <c r="AA259" s="0" t="str">
        <f aca="false">HYPERLINK("http://lutemusic.org/composers/AScarlatti/Miha_diviso_il_cor/pdf/miha_diviso_01_adagio_T.pdf")</f>
        <v>http://lutemusic.org/composers/AScarlatti/Miha_diviso_il_cor/pdf/miha_diviso_01_adagio_T.pdf</v>
      </c>
      <c r="AB259" s="0" t="str">
        <f aca="false">HYPERLINK("http://lutemusic.org/composers/AScarlatti/Miha_diviso_il_cor/midi/miha_diviso_01_adagio_T.mid")</f>
        <v>http://lutemusic.org/composers/AScarlatti/Miha_diviso_il_cor/midi/miha_diviso_01_adagio_T.mid</v>
      </c>
      <c r="AC259" s="0" t="n">
        <v>1573937405</v>
      </c>
      <c r="AD259" s="0" t="n">
        <v>1586042061</v>
      </c>
    </row>
    <row r="260" customFormat="false" ht="12.8" hidden="false" customHeight="false" outlineLevel="0" collapsed="false">
      <c r="B260" s="0" t="s">
        <v>584</v>
      </c>
      <c r="C260" s="0" t="s">
        <v>552</v>
      </c>
      <c r="E260" s="0" t="s">
        <v>33</v>
      </c>
      <c r="F260" s="0" t="s">
        <v>577</v>
      </c>
      <c r="H260" s="0" t="s">
        <v>578</v>
      </c>
      <c r="I260" s="0" t="s">
        <v>579</v>
      </c>
      <c r="J260" s="0" t="s">
        <v>36</v>
      </c>
      <c r="K260" s="0" t="s">
        <v>36</v>
      </c>
      <c r="P260" s="0" t="s">
        <v>580</v>
      </c>
      <c r="Q260" s="0" t="s">
        <v>584</v>
      </c>
      <c r="R260" s="0" t="s">
        <v>581</v>
      </c>
      <c r="S260" s="0" t="s">
        <v>480</v>
      </c>
      <c r="T260" s="0" t="n">
        <v>5</v>
      </c>
      <c r="U260" s="0" t="s">
        <v>582</v>
      </c>
      <c r="V260" s="0" t="s">
        <v>583</v>
      </c>
      <c r="Z260" s="0" t="str">
        <f aca="false">HYPERLINK("http://lutemusic.org/composers/AScarlatti/Miha_diviso_il_cor/miha_diviso_02_recit.ft3")</f>
        <v>http://lutemusic.org/composers/AScarlatti/Miha_diviso_il_cor/miha_diviso_02_recit.ft3</v>
      </c>
      <c r="AA260" s="0" t="str">
        <f aca="false">HYPERLINK("http://lutemusic.org/composers/AScarlatti/Miha_diviso_il_cor/pdf/miha_diviso_02_recit.pdf")</f>
        <v>http://lutemusic.org/composers/AScarlatti/Miha_diviso_il_cor/pdf/miha_diviso_02_recit.pdf</v>
      </c>
      <c r="AB260" s="0" t="str">
        <f aca="false">HYPERLINK("http://lutemusic.org/composers/AScarlatti/Miha_diviso_il_cor/midi/miha_diviso_02_recit.mid")</f>
        <v>http://lutemusic.org/composers/AScarlatti/Miha_diviso_il_cor/midi/miha_diviso_02_recit.mid</v>
      </c>
      <c r="AC260" s="0" t="n">
        <v>1573937405</v>
      </c>
      <c r="AD260" s="0" t="n">
        <v>1586042061</v>
      </c>
    </row>
    <row r="261" customFormat="false" ht="12.8" hidden="false" customHeight="false" outlineLevel="0" collapsed="false">
      <c r="B261" s="0" t="s">
        <v>584</v>
      </c>
      <c r="C261" s="0" t="s">
        <v>552</v>
      </c>
      <c r="E261" s="0" t="s">
        <v>33</v>
      </c>
      <c r="F261" s="0" t="s">
        <v>577</v>
      </c>
      <c r="H261" s="0" t="s">
        <v>578</v>
      </c>
      <c r="I261" s="0" t="s">
        <v>579</v>
      </c>
      <c r="J261" s="0" t="s">
        <v>36</v>
      </c>
      <c r="K261" s="0" t="s">
        <v>36</v>
      </c>
      <c r="P261" s="0" t="s">
        <v>580</v>
      </c>
      <c r="Q261" s="0" t="s">
        <v>584</v>
      </c>
      <c r="R261" s="0" t="s">
        <v>581</v>
      </c>
      <c r="S261" s="0" t="s">
        <v>480</v>
      </c>
      <c r="T261" s="0" t="n">
        <v>5</v>
      </c>
      <c r="U261" s="0" t="s">
        <v>582</v>
      </c>
      <c r="V261" s="0" t="s">
        <v>41</v>
      </c>
      <c r="Z261" s="0" t="str">
        <f aca="false">HYPERLINK("http://lutemusic.org/composers/AScarlatti/Miha_diviso_il_cor/miha_diviso_02_recit_T.ft3")</f>
        <v>http://lutemusic.org/composers/AScarlatti/Miha_diviso_il_cor/miha_diviso_02_recit_T.ft3</v>
      </c>
      <c r="AA261" s="0" t="str">
        <f aca="false">HYPERLINK("http://lutemusic.org/composers/AScarlatti/Miha_diviso_il_cor/pdf/miha_diviso_02_recit_T.pdf")</f>
        <v>http://lutemusic.org/composers/AScarlatti/Miha_diviso_il_cor/pdf/miha_diviso_02_recit_T.pdf</v>
      </c>
      <c r="AB261" s="0" t="str">
        <f aca="false">HYPERLINK("http://lutemusic.org/composers/AScarlatti/Miha_diviso_il_cor/midi/miha_diviso_02_recit_T.mid")</f>
        <v>http://lutemusic.org/composers/AScarlatti/Miha_diviso_il_cor/midi/miha_diviso_02_recit_T.mid</v>
      </c>
      <c r="AC261" s="0" t="n">
        <v>1573937405</v>
      </c>
      <c r="AD261" s="0" t="n">
        <v>1586042061</v>
      </c>
    </row>
    <row r="262" customFormat="false" ht="12.8" hidden="false" customHeight="false" outlineLevel="0" collapsed="false">
      <c r="B262" s="0" t="s">
        <v>585</v>
      </c>
      <c r="C262" s="0" t="s">
        <v>552</v>
      </c>
      <c r="E262" s="0" t="s">
        <v>33</v>
      </c>
      <c r="F262" s="0" t="s">
        <v>577</v>
      </c>
      <c r="H262" s="0" t="s">
        <v>578</v>
      </c>
      <c r="I262" s="0" t="s">
        <v>579</v>
      </c>
      <c r="J262" s="0" t="s">
        <v>36</v>
      </c>
      <c r="K262" s="0" t="s">
        <v>36</v>
      </c>
      <c r="P262" s="0" t="s">
        <v>580</v>
      </c>
      <c r="Q262" s="0" t="s">
        <v>585</v>
      </c>
      <c r="R262" s="0" t="s">
        <v>581</v>
      </c>
      <c r="S262" s="0" t="s">
        <v>480</v>
      </c>
      <c r="T262" s="0" t="n">
        <v>5</v>
      </c>
      <c r="U262" s="0" t="s">
        <v>582</v>
      </c>
      <c r="V262" s="0" t="s">
        <v>583</v>
      </c>
      <c r="Z262" s="0" t="str">
        <f aca="false">HYPERLINK("http://lutemusic.org/composers/AScarlatti/Miha_diviso_il_cor/miha_diviso_03_aria.ft3")</f>
        <v>http://lutemusic.org/composers/AScarlatti/Miha_diviso_il_cor/miha_diviso_03_aria.ft3</v>
      </c>
      <c r="AA262" s="0" t="str">
        <f aca="false">HYPERLINK("http://lutemusic.org/composers/AScarlatti/Miha_diviso_il_cor/pdf/miha_diviso_03_aria.pdf")</f>
        <v>http://lutemusic.org/composers/AScarlatti/Miha_diviso_il_cor/pdf/miha_diviso_03_aria.pdf</v>
      </c>
      <c r="AB262" s="0" t="str">
        <f aca="false">HYPERLINK("http://lutemusic.org/composers/AScarlatti/Miha_diviso_il_cor/midi/miha_diviso_03_aria.mid")</f>
        <v>http://lutemusic.org/composers/AScarlatti/Miha_diviso_il_cor/midi/miha_diviso_03_aria.mid</v>
      </c>
      <c r="AC262" s="0" t="n">
        <v>1573937405</v>
      </c>
      <c r="AD262" s="0" t="n">
        <v>1586042061</v>
      </c>
    </row>
    <row r="263" customFormat="false" ht="12.8" hidden="false" customHeight="false" outlineLevel="0" collapsed="false">
      <c r="B263" s="0" t="s">
        <v>585</v>
      </c>
      <c r="C263" s="0" t="s">
        <v>552</v>
      </c>
      <c r="E263" s="0" t="s">
        <v>33</v>
      </c>
      <c r="F263" s="0" t="s">
        <v>577</v>
      </c>
      <c r="H263" s="0" t="s">
        <v>578</v>
      </c>
      <c r="I263" s="0" t="s">
        <v>579</v>
      </c>
      <c r="J263" s="0" t="s">
        <v>36</v>
      </c>
      <c r="K263" s="0" t="s">
        <v>36</v>
      </c>
      <c r="P263" s="0" t="s">
        <v>580</v>
      </c>
      <c r="Q263" s="0" t="s">
        <v>586</v>
      </c>
      <c r="R263" s="0" t="s">
        <v>581</v>
      </c>
      <c r="S263" s="0" t="s">
        <v>480</v>
      </c>
      <c r="T263" s="0" t="n">
        <v>5</v>
      </c>
      <c r="U263" s="0" t="s">
        <v>582</v>
      </c>
      <c r="V263" s="0" t="s">
        <v>41</v>
      </c>
      <c r="Z263" s="0" t="str">
        <f aca="false">HYPERLINK("http://lutemusic.org/composers/AScarlatti/Miha_diviso_il_cor/miha_diviso_03_aria_T.ft3")</f>
        <v>http://lutemusic.org/composers/AScarlatti/Miha_diviso_il_cor/miha_diviso_03_aria_T.ft3</v>
      </c>
      <c r="AA263" s="0" t="str">
        <f aca="false">HYPERLINK("http://lutemusic.org/composers/AScarlatti/Miha_diviso_il_cor/pdf/miha_diviso_03_aria_T.pdf")</f>
        <v>http://lutemusic.org/composers/AScarlatti/Miha_diviso_il_cor/pdf/miha_diviso_03_aria_T.pdf</v>
      </c>
      <c r="AB263" s="0" t="str">
        <f aca="false">HYPERLINK("http://lutemusic.org/composers/AScarlatti/Miha_diviso_il_cor/midi/miha_diviso_03_aria_T.mid")</f>
        <v>http://lutemusic.org/composers/AScarlatti/Miha_diviso_il_cor/midi/miha_diviso_03_aria_T.mid</v>
      </c>
      <c r="AC263" s="0" t="n">
        <v>1573937405</v>
      </c>
      <c r="AD263" s="0" t="n">
        <v>1586042061</v>
      </c>
    </row>
    <row r="264" customFormat="false" ht="12.8" hidden="false" customHeight="false" outlineLevel="0" collapsed="false">
      <c r="B264" s="0" t="s">
        <v>587</v>
      </c>
      <c r="C264" s="0" t="s">
        <v>552</v>
      </c>
      <c r="E264" s="0" t="s">
        <v>33</v>
      </c>
      <c r="F264" s="0" t="s">
        <v>577</v>
      </c>
      <c r="H264" s="0" t="s">
        <v>578</v>
      </c>
      <c r="I264" s="0" t="s">
        <v>579</v>
      </c>
      <c r="J264" s="0" t="s">
        <v>36</v>
      </c>
      <c r="K264" s="0" t="s">
        <v>36</v>
      </c>
      <c r="P264" s="0" t="s">
        <v>580</v>
      </c>
      <c r="Q264" s="0" t="s">
        <v>587</v>
      </c>
      <c r="R264" s="0" t="s">
        <v>588</v>
      </c>
      <c r="S264" s="0" t="s">
        <v>49</v>
      </c>
      <c r="T264" s="0" t="n">
        <v>5</v>
      </c>
      <c r="U264" s="0" t="s">
        <v>582</v>
      </c>
      <c r="V264" s="0" t="s">
        <v>583</v>
      </c>
      <c r="Z264" s="0" t="str">
        <f aca="false">HYPERLINK("http://lutemusic.org/composers/AScarlatti/Miha_diviso_il_cor/miha_diviso_04_recit.ft3")</f>
        <v>http://lutemusic.org/composers/AScarlatti/Miha_diviso_il_cor/miha_diviso_04_recit.ft3</v>
      </c>
      <c r="AA264" s="0" t="str">
        <f aca="false">HYPERLINK("http://lutemusic.org/composers/AScarlatti/Miha_diviso_il_cor/pdf/miha_diviso_04_recit.pdf")</f>
        <v>http://lutemusic.org/composers/AScarlatti/Miha_diviso_il_cor/pdf/miha_diviso_04_recit.pdf</v>
      </c>
      <c r="AB264" s="0" t="str">
        <f aca="false">HYPERLINK("http://lutemusic.org/composers/AScarlatti/Miha_diviso_il_cor/midi/miha_diviso_04_recit.mid")</f>
        <v>http://lutemusic.org/composers/AScarlatti/Miha_diviso_il_cor/midi/miha_diviso_04_recit.mid</v>
      </c>
      <c r="AC264" s="0" t="n">
        <v>1573937405</v>
      </c>
      <c r="AD264" s="0" t="n">
        <v>1586042061</v>
      </c>
    </row>
    <row r="265" customFormat="false" ht="12.8" hidden="false" customHeight="false" outlineLevel="0" collapsed="false">
      <c r="B265" s="0" t="s">
        <v>587</v>
      </c>
      <c r="C265" s="0" t="s">
        <v>552</v>
      </c>
      <c r="E265" s="0" t="s">
        <v>33</v>
      </c>
      <c r="F265" s="0" t="s">
        <v>577</v>
      </c>
      <c r="H265" s="0" t="s">
        <v>578</v>
      </c>
      <c r="I265" s="0" t="s">
        <v>579</v>
      </c>
      <c r="J265" s="0" t="s">
        <v>36</v>
      </c>
      <c r="K265" s="0" t="s">
        <v>36</v>
      </c>
      <c r="P265" s="0" t="s">
        <v>580</v>
      </c>
      <c r="Q265" s="0" t="s">
        <v>587</v>
      </c>
      <c r="R265" s="0" t="s">
        <v>588</v>
      </c>
      <c r="S265" s="0" t="s">
        <v>49</v>
      </c>
      <c r="T265" s="0" t="n">
        <v>5</v>
      </c>
      <c r="U265" s="0" t="s">
        <v>582</v>
      </c>
      <c r="V265" s="0" t="s">
        <v>41</v>
      </c>
      <c r="Z265" s="0" t="str">
        <f aca="false">HYPERLINK("http://lutemusic.org/composers/AScarlatti/Miha_diviso_il_cor/miha_diviso_04_recit_T.ft3")</f>
        <v>http://lutemusic.org/composers/AScarlatti/Miha_diviso_il_cor/miha_diviso_04_recit_T.ft3</v>
      </c>
      <c r="AA265" s="0" t="str">
        <f aca="false">HYPERLINK("http://lutemusic.org/composers/AScarlatti/Miha_diviso_il_cor/pdf/miha_diviso_04_recit_T.pdf")</f>
        <v>http://lutemusic.org/composers/AScarlatti/Miha_diviso_il_cor/pdf/miha_diviso_04_recit_T.pdf</v>
      </c>
      <c r="AB265" s="0" t="str">
        <f aca="false">HYPERLINK("http://lutemusic.org/composers/AScarlatti/Miha_diviso_il_cor/midi/miha_diviso_04_recit_T.mid")</f>
        <v>http://lutemusic.org/composers/AScarlatti/Miha_diviso_il_cor/midi/miha_diviso_04_recit_T.mid</v>
      </c>
      <c r="AC265" s="0" t="n">
        <v>1573937405</v>
      </c>
      <c r="AD265" s="0" t="n">
        <v>1586042061</v>
      </c>
    </row>
    <row r="266" customFormat="false" ht="12.8" hidden="false" customHeight="false" outlineLevel="0" collapsed="false">
      <c r="B266" s="0" t="s">
        <v>589</v>
      </c>
      <c r="C266" s="0" t="s">
        <v>552</v>
      </c>
      <c r="E266" s="0" t="s">
        <v>33</v>
      </c>
      <c r="F266" s="0" t="s">
        <v>577</v>
      </c>
      <c r="H266" s="0" t="s">
        <v>578</v>
      </c>
      <c r="I266" s="0" t="s">
        <v>579</v>
      </c>
      <c r="J266" s="0" t="s">
        <v>36</v>
      </c>
      <c r="K266" s="0" t="s">
        <v>36</v>
      </c>
      <c r="P266" s="0" t="s">
        <v>580</v>
      </c>
      <c r="Q266" s="0" t="s">
        <v>589</v>
      </c>
      <c r="R266" s="0" t="s">
        <v>581</v>
      </c>
      <c r="S266" s="0" t="s">
        <v>590</v>
      </c>
      <c r="T266" s="0" t="n">
        <v>5</v>
      </c>
      <c r="U266" s="0" t="s">
        <v>582</v>
      </c>
      <c r="V266" s="0" t="s">
        <v>583</v>
      </c>
      <c r="Z266" s="0" t="str">
        <f aca="false">HYPERLINK("http://lutemusic.org/composers/AScarlatti/Miha_diviso_il_cor/miha_diviso_05_adagio.ft3")</f>
        <v>http://lutemusic.org/composers/AScarlatti/Miha_diviso_il_cor/miha_diviso_05_adagio.ft3</v>
      </c>
      <c r="AA266" s="0" t="str">
        <f aca="false">HYPERLINK("http://lutemusic.org/composers/AScarlatti/Miha_diviso_il_cor/pdf/miha_diviso_05_adagio.pdf")</f>
        <v>http://lutemusic.org/composers/AScarlatti/Miha_diviso_il_cor/pdf/miha_diviso_05_adagio.pdf</v>
      </c>
      <c r="AB266" s="0" t="str">
        <f aca="false">HYPERLINK("http://lutemusic.org/composers/AScarlatti/Miha_diviso_il_cor/midi/miha_diviso_05_adagio.mid")</f>
        <v>http://lutemusic.org/composers/AScarlatti/Miha_diviso_il_cor/midi/miha_diviso_05_adagio.mid</v>
      </c>
      <c r="AC266" s="0" t="n">
        <v>1573937405</v>
      </c>
      <c r="AD266" s="0" t="n">
        <v>1586042061</v>
      </c>
    </row>
    <row r="267" customFormat="false" ht="12.8" hidden="false" customHeight="false" outlineLevel="0" collapsed="false">
      <c r="B267" s="0" t="s">
        <v>589</v>
      </c>
      <c r="C267" s="0" t="s">
        <v>552</v>
      </c>
      <c r="E267" s="0" t="s">
        <v>33</v>
      </c>
      <c r="F267" s="0" t="s">
        <v>577</v>
      </c>
      <c r="H267" s="0" t="s">
        <v>578</v>
      </c>
      <c r="I267" s="0" t="s">
        <v>579</v>
      </c>
      <c r="J267" s="0" t="s">
        <v>36</v>
      </c>
      <c r="K267" s="0" t="s">
        <v>36</v>
      </c>
      <c r="P267" s="0" t="s">
        <v>580</v>
      </c>
      <c r="Q267" s="0" t="s">
        <v>589</v>
      </c>
      <c r="R267" s="0" t="s">
        <v>581</v>
      </c>
      <c r="S267" s="0" t="s">
        <v>590</v>
      </c>
      <c r="T267" s="0" t="n">
        <v>5</v>
      </c>
      <c r="U267" s="0" t="s">
        <v>582</v>
      </c>
      <c r="V267" s="0" t="s">
        <v>41</v>
      </c>
      <c r="Z267" s="0" t="str">
        <f aca="false">HYPERLINK("http://lutemusic.org/composers/AScarlatti/Miha_diviso_il_cor/miha_diviso_05_adagio_T.ft3")</f>
        <v>http://lutemusic.org/composers/AScarlatti/Miha_diviso_il_cor/miha_diviso_05_adagio_T.ft3</v>
      </c>
      <c r="AA267" s="0" t="str">
        <f aca="false">HYPERLINK("http://lutemusic.org/composers/AScarlatti/Miha_diviso_il_cor/pdf/miha_diviso_05_adagio_T.pdf")</f>
        <v>http://lutemusic.org/composers/AScarlatti/Miha_diviso_il_cor/pdf/miha_diviso_05_adagio_T.pdf</v>
      </c>
      <c r="AB267" s="0" t="str">
        <f aca="false">HYPERLINK("http://lutemusic.org/composers/AScarlatti/Miha_diviso_il_cor/midi/miha_diviso_05_adagio_T.mid")</f>
        <v>http://lutemusic.org/composers/AScarlatti/Miha_diviso_il_cor/midi/miha_diviso_05_adagio_T.mid</v>
      </c>
      <c r="AC267" s="0" t="n">
        <v>1573937405</v>
      </c>
      <c r="AD267" s="0" t="n">
        <v>1586042061</v>
      </c>
    </row>
    <row r="268" customFormat="false" ht="12.8" hidden="false" customHeight="false" outlineLevel="0" collapsed="false">
      <c r="B268" s="0" t="s">
        <v>591</v>
      </c>
      <c r="C268" s="0" t="s">
        <v>552</v>
      </c>
      <c r="E268" s="0" t="s">
        <v>33</v>
      </c>
      <c r="F268" s="0" t="s">
        <v>577</v>
      </c>
      <c r="H268" s="0" t="s">
        <v>578</v>
      </c>
      <c r="I268" s="0" t="s">
        <v>579</v>
      </c>
      <c r="J268" s="0" t="s">
        <v>36</v>
      </c>
      <c r="K268" s="0" t="s">
        <v>36</v>
      </c>
      <c r="P268" s="0" t="s">
        <v>580</v>
      </c>
      <c r="Q268" s="0" t="s">
        <v>591</v>
      </c>
      <c r="R268" s="0" t="s">
        <v>581</v>
      </c>
      <c r="S268" s="0" t="s">
        <v>84</v>
      </c>
      <c r="T268" s="0" t="n">
        <v>5</v>
      </c>
      <c r="U268" s="0" t="s">
        <v>582</v>
      </c>
      <c r="V268" s="0" t="s">
        <v>583</v>
      </c>
      <c r="Z268" s="0" t="str">
        <f aca="false">HYPERLINK("http://lutemusic.org/composers/AScarlatti/Miha_diviso_il_cor/miha_diviso_06_recit.ft3")</f>
        <v>http://lutemusic.org/composers/AScarlatti/Miha_diviso_il_cor/miha_diviso_06_recit.ft3</v>
      </c>
      <c r="AA268" s="0" t="str">
        <f aca="false">HYPERLINK("http://lutemusic.org/composers/AScarlatti/Miha_diviso_il_cor/pdf/miha_diviso_06_recit.pdf")</f>
        <v>http://lutemusic.org/composers/AScarlatti/Miha_diviso_il_cor/pdf/miha_diviso_06_recit.pdf</v>
      </c>
      <c r="AB268" s="0" t="str">
        <f aca="false">HYPERLINK("http://lutemusic.org/composers/AScarlatti/Miha_diviso_il_cor/midi/miha_diviso_06_recit.mid")</f>
        <v>http://lutemusic.org/composers/AScarlatti/Miha_diviso_il_cor/midi/miha_diviso_06_recit.mid</v>
      </c>
      <c r="AC268" s="0" t="n">
        <v>1573937405</v>
      </c>
      <c r="AD268" s="0" t="n">
        <v>1586042061</v>
      </c>
    </row>
    <row r="269" customFormat="false" ht="12.8" hidden="false" customHeight="false" outlineLevel="0" collapsed="false">
      <c r="B269" s="0" t="s">
        <v>591</v>
      </c>
      <c r="C269" s="0" t="s">
        <v>552</v>
      </c>
      <c r="E269" s="0" t="s">
        <v>33</v>
      </c>
      <c r="F269" s="0" t="s">
        <v>577</v>
      </c>
      <c r="H269" s="0" t="s">
        <v>578</v>
      </c>
      <c r="I269" s="0" t="s">
        <v>579</v>
      </c>
      <c r="J269" s="0" t="s">
        <v>36</v>
      </c>
      <c r="K269" s="0" t="s">
        <v>36</v>
      </c>
      <c r="P269" s="0" t="s">
        <v>580</v>
      </c>
      <c r="Q269" s="0" t="s">
        <v>591</v>
      </c>
      <c r="R269" s="0" t="s">
        <v>581</v>
      </c>
      <c r="S269" s="0" t="s">
        <v>84</v>
      </c>
      <c r="T269" s="0" t="n">
        <v>5</v>
      </c>
      <c r="U269" s="0" t="s">
        <v>582</v>
      </c>
      <c r="V269" s="0" t="s">
        <v>41</v>
      </c>
      <c r="Z269" s="0" t="str">
        <f aca="false">HYPERLINK("http://lutemusic.org/composers/AScarlatti/Miha_diviso_il_cor/miha_diviso_06_recit_T.ft3")</f>
        <v>http://lutemusic.org/composers/AScarlatti/Miha_diviso_il_cor/miha_diviso_06_recit_T.ft3</v>
      </c>
      <c r="AA269" s="0" t="str">
        <f aca="false">HYPERLINK("http://lutemusic.org/composers/AScarlatti/Miha_diviso_il_cor/pdf/miha_diviso_06_recit_T.pdf")</f>
        <v>http://lutemusic.org/composers/AScarlatti/Miha_diviso_il_cor/pdf/miha_diviso_06_recit_T.pdf</v>
      </c>
      <c r="AB269" s="0" t="str">
        <f aca="false">HYPERLINK("http://lutemusic.org/composers/AScarlatti/Miha_diviso_il_cor/midi/miha_diviso_06_recit_T.mid")</f>
        <v>http://lutemusic.org/composers/AScarlatti/Miha_diviso_il_cor/midi/miha_diviso_06_recit_T.mid</v>
      </c>
      <c r="AC269" s="0" t="n">
        <v>1573937405</v>
      </c>
      <c r="AD269" s="0" t="n">
        <v>1586042061</v>
      </c>
    </row>
    <row r="270" customFormat="false" ht="12.8" hidden="false" customHeight="false" outlineLevel="0" collapsed="false">
      <c r="A270" s="0" t="s">
        <v>592</v>
      </c>
      <c r="B270" s="0" t="s">
        <v>593</v>
      </c>
      <c r="C270" s="0" t="s">
        <v>552</v>
      </c>
      <c r="E270" s="0" t="s">
        <v>33</v>
      </c>
      <c r="F270" s="0" t="s">
        <v>594</v>
      </c>
      <c r="H270" s="0" t="n">
        <v>1709</v>
      </c>
      <c r="I270" s="0" t="s">
        <v>595</v>
      </c>
      <c r="J270" s="0" t="s">
        <v>36</v>
      </c>
      <c r="K270" s="0" t="s">
        <v>36</v>
      </c>
      <c r="P270" s="0" t="s">
        <v>592</v>
      </c>
      <c r="Q270" s="0" t="s">
        <v>593</v>
      </c>
      <c r="R270" s="0" t="s">
        <v>581</v>
      </c>
      <c r="S270" s="0" t="s">
        <v>424</v>
      </c>
      <c r="T270" s="0" t="n">
        <v>3</v>
      </c>
      <c r="U270" s="0" t="s">
        <v>596</v>
      </c>
      <c r="V270" s="0" t="s">
        <v>40</v>
      </c>
      <c r="Z270" s="0" t="str">
        <f aca="false">HYPERLINK("http://lutemusic.org/composers/AScarlatti/sotto_l_ombra_d_un_faggio/1_recit_1_sotto_l_ombra_S.ft3")</f>
        <v>http://lutemusic.org/composers/AScarlatti/sotto_l_ombra_d_un_faggio/1_recit_1_sotto_l_ombra_S.ft3</v>
      </c>
      <c r="AA270" s="0" t="str">
        <f aca="false">HYPERLINK("http://lutemusic.org/composers/AScarlatti/sotto_l_ombra_d_un_faggio/pdf/1_recit_1_sotto_l_ombra_S.pdf")</f>
        <v>http://lutemusic.org/composers/AScarlatti/sotto_l_ombra_d_un_faggio/pdf/1_recit_1_sotto_l_ombra_S.pdf</v>
      </c>
      <c r="AB270" s="0" t="str">
        <f aca="false">HYPERLINK("http://lutemusic.org/composers/AScarlatti/sotto_l_ombra_d_un_faggio/midi/1_recit_1_sotto_l_ombra_S.mid")</f>
        <v>http://lutemusic.org/composers/AScarlatti/sotto_l_ombra_d_un_faggio/midi/1_recit_1_sotto_l_ombra_S.mid</v>
      </c>
      <c r="AC270" s="0" t="n">
        <v>1573937405</v>
      </c>
      <c r="AD270" s="0" t="n">
        <v>1586042061</v>
      </c>
    </row>
    <row r="271" customFormat="false" ht="12.8" hidden="false" customHeight="false" outlineLevel="0" collapsed="false">
      <c r="A271" s="0" t="s">
        <v>592</v>
      </c>
      <c r="B271" s="0" t="s">
        <v>593</v>
      </c>
      <c r="C271" s="0" t="s">
        <v>552</v>
      </c>
      <c r="E271" s="0" t="s">
        <v>33</v>
      </c>
      <c r="F271" s="0" t="s">
        <v>594</v>
      </c>
      <c r="H271" s="0" t="n">
        <v>1709</v>
      </c>
      <c r="I271" s="0" t="s">
        <v>595</v>
      </c>
      <c r="J271" s="0" t="s">
        <v>36</v>
      </c>
      <c r="K271" s="0" t="s">
        <v>36</v>
      </c>
      <c r="P271" s="0" t="s">
        <v>592</v>
      </c>
      <c r="Q271" s="0" t="s">
        <v>593</v>
      </c>
      <c r="R271" s="0" t="s">
        <v>581</v>
      </c>
      <c r="S271" s="0" t="s">
        <v>424</v>
      </c>
      <c r="T271" s="0" t="n">
        <v>3</v>
      </c>
      <c r="U271" s="0" t="s">
        <v>596</v>
      </c>
      <c r="V271" s="0" t="s">
        <v>41</v>
      </c>
      <c r="Z271" s="0" t="str">
        <f aca="false">HYPERLINK("http://lutemusic.org/composers/AScarlatti/sotto_l_ombra_d_un_faggio/1_recit_1_sotto_l_ombra_T.ft3")</f>
        <v>http://lutemusic.org/composers/AScarlatti/sotto_l_ombra_d_un_faggio/1_recit_1_sotto_l_ombra_T.ft3</v>
      </c>
      <c r="AA271" s="0" t="str">
        <f aca="false">HYPERLINK("http://lutemusic.org/composers/AScarlatti/sotto_l_ombra_d_un_faggio/pdf/1_recit_1_sotto_l_ombra_T.pdf")</f>
        <v>http://lutemusic.org/composers/AScarlatti/sotto_l_ombra_d_un_faggio/pdf/1_recit_1_sotto_l_ombra_T.pdf</v>
      </c>
      <c r="AB271" s="0" t="str">
        <f aca="false">HYPERLINK("http://lutemusic.org/composers/AScarlatti/sotto_l_ombra_d_un_faggio/midi/1_recit_1_sotto_l_ombra_T.mid")</f>
        <v>http://lutemusic.org/composers/AScarlatti/sotto_l_ombra_d_un_faggio/midi/1_recit_1_sotto_l_ombra_T.mid</v>
      </c>
      <c r="AC271" s="0" t="n">
        <v>1573937405</v>
      </c>
      <c r="AD271" s="0" t="n">
        <v>1586042061</v>
      </c>
    </row>
    <row r="272" customFormat="false" ht="12.8" hidden="false" customHeight="false" outlineLevel="0" collapsed="false">
      <c r="A272" s="0" t="s">
        <v>592</v>
      </c>
      <c r="B272" s="0" t="s">
        <v>593</v>
      </c>
      <c r="C272" s="0" t="s">
        <v>552</v>
      </c>
      <c r="E272" s="0" t="s">
        <v>33</v>
      </c>
      <c r="F272" s="0" t="s">
        <v>594</v>
      </c>
      <c r="H272" s="0" t="n">
        <v>1709</v>
      </c>
      <c r="I272" s="0" t="s">
        <v>595</v>
      </c>
      <c r="J272" s="0" t="s">
        <v>36</v>
      </c>
      <c r="K272" s="0" t="s">
        <v>36</v>
      </c>
      <c r="P272" s="0" t="s">
        <v>592</v>
      </c>
      <c r="Q272" s="0" t="s">
        <v>593</v>
      </c>
      <c r="R272" s="0" t="s">
        <v>581</v>
      </c>
      <c r="S272" s="0" t="s">
        <v>424</v>
      </c>
      <c r="T272" s="0" t="n">
        <v>3</v>
      </c>
      <c r="U272" s="0" t="s">
        <v>596</v>
      </c>
      <c r="V272" s="0" t="s">
        <v>597</v>
      </c>
      <c r="Z272" s="0" t="str">
        <f aca="false">HYPERLINK("http://lutemusic.org/composers/AScarlatti/sotto_l_ombra_d_un_faggio/1_recit_1_sotto_l_ombra_VT.ft3")</f>
        <v>http://lutemusic.org/composers/AScarlatti/sotto_l_ombra_d_un_faggio/1_recit_1_sotto_l_ombra_VT.ft3</v>
      </c>
      <c r="AA272" s="0" t="str">
        <f aca="false">HYPERLINK("http://lutemusic.org/composers/AScarlatti/sotto_l_ombra_d_un_faggio/pdf/1_recit_1_sotto_l_ombra_VT.pdf")</f>
        <v>http://lutemusic.org/composers/AScarlatti/sotto_l_ombra_d_un_faggio/pdf/1_recit_1_sotto_l_ombra_VT.pdf</v>
      </c>
      <c r="AB272" s="0" t="str">
        <f aca="false">HYPERLINK("http://lutemusic.org/composers/AScarlatti/sotto_l_ombra_d_un_faggio/midi/1_recit_1_sotto_l_ombra_VT.mid")</f>
        <v>http://lutemusic.org/composers/AScarlatti/sotto_l_ombra_d_un_faggio/midi/1_recit_1_sotto_l_ombra_VT.mid</v>
      </c>
      <c r="AC272" s="0" t="n">
        <v>1573937405</v>
      </c>
      <c r="AD272" s="0" t="n">
        <v>1586042061</v>
      </c>
    </row>
    <row r="273" customFormat="false" ht="12.8" hidden="false" customHeight="false" outlineLevel="0" collapsed="false">
      <c r="A273" s="0" t="s">
        <v>598</v>
      </c>
      <c r="B273" s="0" t="s">
        <v>599</v>
      </c>
      <c r="C273" s="0" t="s">
        <v>552</v>
      </c>
      <c r="E273" s="0" t="s">
        <v>33</v>
      </c>
      <c r="F273" s="0" t="s">
        <v>594</v>
      </c>
      <c r="H273" s="0" t="n">
        <v>1709</v>
      </c>
      <c r="I273" s="0" t="s">
        <v>595</v>
      </c>
      <c r="J273" s="0" t="s">
        <v>36</v>
      </c>
      <c r="K273" s="0" t="s">
        <v>36</v>
      </c>
      <c r="P273" s="0" t="s">
        <v>592</v>
      </c>
      <c r="Q273" s="0" t="s">
        <v>599</v>
      </c>
      <c r="R273" s="0" t="s">
        <v>581</v>
      </c>
      <c r="S273" s="0" t="s">
        <v>424</v>
      </c>
      <c r="T273" s="0" t="n">
        <v>3</v>
      </c>
      <c r="U273" s="0" t="s">
        <v>600</v>
      </c>
      <c r="V273" s="0" t="s">
        <v>40</v>
      </c>
      <c r="Z273" s="0" t="str">
        <f aca="false">HYPERLINK("http://lutemusic.org/composers/AScarlatti/sotto_l_ombra_d_un_faggio/2_aria_1_fili_mia_S.ft3")</f>
        <v>http://lutemusic.org/composers/AScarlatti/sotto_l_ombra_d_un_faggio/2_aria_1_fili_mia_S.ft3</v>
      </c>
      <c r="AA273" s="0" t="str">
        <f aca="false">HYPERLINK("http://lutemusic.org/composers/AScarlatti/sotto_l_ombra_d_un_faggio/pdf/2_aria_1_fili_mia_S.pdf")</f>
        <v>http://lutemusic.org/composers/AScarlatti/sotto_l_ombra_d_un_faggio/pdf/2_aria_1_fili_mia_S.pdf</v>
      </c>
      <c r="AB273" s="0" t="str">
        <f aca="false">HYPERLINK("http://lutemusic.org/composers/AScarlatti/sotto_l_ombra_d_un_faggio/midi/2_aria_1_fili_mia_S.mid")</f>
        <v>http://lutemusic.org/composers/AScarlatti/sotto_l_ombra_d_un_faggio/midi/2_aria_1_fili_mia_S.mid</v>
      </c>
      <c r="AC273" s="0" t="n">
        <v>1573937405</v>
      </c>
      <c r="AD273" s="0" t="n">
        <v>1586042061</v>
      </c>
    </row>
    <row r="274" customFormat="false" ht="12.8" hidden="false" customHeight="false" outlineLevel="0" collapsed="false">
      <c r="A274" s="0" t="s">
        <v>598</v>
      </c>
      <c r="B274" s="0" t="s">
        <v>599</v>
      </c>
      <c r="C274" s="0" t="s">
        <v>552</v>
      </c>
      <c r="E274" s="0" t="s">
        <v>33</v>
      </c>
      <c r="F274" s="0" t="s">
        <v>594</v>
      </c>
      <c r="H274" s="0" t="n">
        <v>1709</v>
      </c>
      <c r="I274" s="0" t="s">
        <v>595</v>
      </c>
      <c r="J274" s="0" t="s">
        <v>36</v>
      </c>
      <c r="K274" s="0" t="s">
        <v>36</v>
      </c>
      <c r="P274" s="0" t="s">
        <v>592</v>
      </c>
      <c r="Q274" s="0" t="s">
        <v>599</v>
      </c>
      <c r="R274" s="0" t="s">
        <v>581</v>
      </c>
      <c r="S274" s="0" t="s">
        <v>424</v>
      </c>
      <c r="T274" s="0" t="n">
        <v>3</v>
      </c>
      <c r="U274" s="0" t="s">
        <v>600</v>
      </c>
      <c r="V274" s="0" t="s">
        <v>41</v>
      </c>
      <c r="Z274" s="0" t="str">
        <f aca="false">HYPERLINK("http://lutemusic.org/composers/AScarlatti/sotto_l_ombra_d_un_faggio/2_aria_1_fili_mia_T.ft3")</f>
        <v>http://lutemusic.org/composers/AScarlatti/sotto_l_ombra_d_un_faggio/2_aria_1_fili_mia_T.ft3</v>
      </c>
      <c r="AA274" s="0" t="str">
        <f aca="false">HYPERLINK("http://lutemusic.org/composers/AScarlatti/sotto_l_ombra_d_un_faggio/pdf/2_aria_1_fili_mia_T.pdf")</f>
        <v>http://lutemusic.org/composers/AScarlatti/sotto_l_ombra_d_un_faggio/pdf/2_aria_1_fili_mia_T.pdf</v>
      </c>
      <c r="AB274" s="0" t="str">
        <f aca="false">HYPERLINK("http://lutemusic.org/composers/AScarlatti/sotto_l_ombra_d_un_faggio/midi/2_aria_1_fili_mia_T.mid")</f>
        <v>http://lutemusic.org/composers/AScarlatti/sotto_l_ombra_d_un_faggio/midi/2_aria_1_fili_mia_T.mid</v>
      </c>
      <c r="AC274" s="0" t="n">
        <v>1573937405</v>
      </c>
      <c r="AD274" s="0" t="n">
        <v>1586042061</v>
      </c>
    </row>
    <row r="275" customFormat="false" ht="12.8" hidden="false" customHeight="false" outlineLevel="0" collapsed="false">
      <c r="A275" s="0" t="s">
        <v>598</v>
      </c>
      <c r="B275" s="0" t="s">
        <v>599</v>
      </c>
      <c r="C275" s="0" t="s">
        <v>552</v>
      </c>
      <c r="E275" s="0" t="s">
        <v>33</v>
      </c>
      <c r="F275" s="0" t="s">
        <v>594</v>
      </c>
      <c r="H275" s="0" t="n">
        <v>1709</v>
      </c>
      <c r="I275" s="0" t="s">
        <v>595</v>
      </c>
      <c r="J275" s="0" t="s">
        <v>36</v>
      </c>
      <c r="K275" s="0" t="s">
        <v>36</v>
      </c>
      <c r="P275" s="0" t="s">
        <v>592</v>
      </c>
      <c r="Q275" s="0" t="s">
        <v>599</v>
      </c>
      <c r="R275" s="0" t="s">
        <v>581</v>
      </c>
      <c r="S275" s="0" t="s">
        <v>424</v>
      </c>
      <c r="T275" s="0" t="n">
        <v>3</v>
      </c>
      <c r="U275" s="0" t="s">
        <v>600</v>
      </c>
      <c r="V275" s="0" t="s">
        <v>601</v>
      </c>
      <c r="Z275" s="0" t="str">
        <f aca="false">HYPERLINK("http://lutemusic.org/composers/AScarlatti/sotto_l_ombra_d_un_faggio/2_aria_1_fili_mia_vln.ft3")</f>
        <v>http://lutemusic.org/composers/AScarlatti/sotto_l_ombra_d_un_faggio/2_aria_1_fili_mia_vln.ft3</v>
      </c>
      <c r="AA275" s="0" t="str">
        <f aca="false">HYPERLINK("http://lutemusic.org/composers/AScarlatti/sotto_l_ombra_d_un_faggio/pdf/2_aria_1_fili_mia_vln.pdf")</f>
        <v>http://lutemusic.org/composers/AScarlatti/sotto_l_ombra_d_un_faggio/pdf/2_aria_1_fili_mia_vln.pdf</v>
      </c>
      <c r="AB275" s="0" t="str">
        <f aca="false">HYPERLINK("http://lutemusic.org/composers/AScarlatti/sotto_l_ombra_d_un_faggio/midi/2_aria_1_fili_mia_vln.mid")</f>
        <v>http://lutemusic.org/composers/AScarlatti/sotto_l_ombra_d_un_faggio/midi/2_aria_1_fili_mia_vln.mid</v>
      </c>
      <c r="AC275" s="0" t="n">
        <v>1573937405</v>
      </c>
      <c r="AD275" s="0" t="n">
        <v>1586042062</v>
      </c>
    </row>
    <row r="276" customFormat="false" ht="12.8" hidden="false" customHeight="false" outlineLevel="0" collapsed="false">
      <c r="A276" s="0" t="s">
        <v>598</v>
      </c>
      <c r="B276" s="0" t="s">
        <v>599</v>
      </c>
      <c r="C276" s="0" t="s">
        <v>552</v>
      </c>
      <c r="E276" s="0" t="s">
        <v>33</v>
      </c>
      <c r="F276" s="0" t="s">
        <v>594</v>
      </c>
      <c r="H276" s="0" t="n">
        <v>1709</v>
      </c>
      <c r="I276" s="0" t="s">
        <v>595</v>
      </c>
      <c r="J276" s="0" t="s">
        <v>36</v>
      </c>
      <c r="K276" s="0" t="s">
        <v>36</v>
      </c>
      <c r="P276" s="0" t="s">
        <v>592</v>
      </c>
      <c r="Q276" s="0" t="s">
        <v>599</v>
      </c>
      <c r="R276" s="0" t="s">
        <v>581</v>
      </c>
      <c r="S276" s="0" t="s">
        <v>424</v>
      </c>
      <c r="T276" s="0" t="n">
        <v>3</v>
      </c>
      <c r="U276" s="0" t="s">
        <v>600</v>
      </c>
      <c r="V276" s="0" t="s">
        <v>602</v>
      </c>
      <c r="Z276" s="0" t="str">
        <f aca="false">HYPERLINK("http://lutemusic.org/composers/AScarlatti/sotto_l_ombra_d_un_faggio/2_aria_1_fili_mia_VT.ft3")</f>
        <v>http://lutemusic.org/composers/AScarlatti/sotto_l_ombra_d_un_faggio/2_aria_1_fili_mia_VT.ft3</v>
      </c>
      <c r="AA276" s="0" t="str">
        <f aca="false">HYPERLINK("http://lutemusic.org/composers/AScarlatti/sotto_l_ombra_d_un_faggio/pdf/2_aria_1_fili_mia_VT.pdf")</f>
        <v>http://lutemusic.org/composers/AScarlatti/sotto_l_ombra_d_un_faggio/pdf/2_aria_1_fili_mia_VT.pdf</v>
      </c>
      <c r="AB276" s="0" t="str">
        <f aca="false">HYPERLINK("http://lutemusic.org/composers/AScarlatti/sotto_l_ombra_d_un_faggio/midi/2_aria_1_fili_mia_VT.mid")</f>
        <v>http://lutemusic.org/composers/AScarlatti/sotto_l_ombra_d_un_faggio/midi/2_aria_1_fili_mia_VT.mid</v>
      </c>
      <c r="AC276" s="0" t="n">
        <v>1573937405</v>
      </c>
      <c r="AD276" s="0" t="n">
        <v>1586042062</v>
      </c>
    </row>
    <row r="277" customFormat="false" ht="12.8" hidden="false" customHeight="false" outlineLevel="0" collapsed="false">
      <c r="A277" s="0" t="s">
        <v>598</v>
      </c>
      <c r="B277" s="0" t="s">
        <v>603</v>
      </c>
      <c r="C277" s="0" t="s">
        <v>552</v>
      </c>
      <c r="E277" s="0" t="s">
        <v>33</v>
      </c>
      <c r="F277" s="0" t="s">
        <v>594</v>
      </c>
      <c r="H277" s="0" t="n">
        <v>1709</v>
      </c>
      <c r="I277" s="0" t="s">
        <v>595</v>
      </c>
      <c r="J277" s="0" t="s">
        <v>36</v>
      </c>
      <c r="K277" s="0" t="s">
        <v>36</v>
      </c>
      <c r="P277" s="0" t="s">
        <v>592</v>
      </c>
      <c r="Q277" s="0" t="s">
        <v>603</v>
      </c>
      <c r="R277" s="0" t="s">
        <v>581</v>
      </c>
      <c r="S277" s="0" t="s">
        <v>326</v>
      </c>
      <c r="T277" s="0" t="n">
        <v>3</v>
      </c>
      <c r="U277" s="0" t="s">
        <v>604</v>
      </c>
      <c r="V277" s="0" t="s">
        <v>602</v>
      </c>
      <c r="Z277" s="0" t="str">
        <f aca="false">HYPERLINK("http://lutemusic.org/composers/AScarlatti/sotto_l_ombra_d_un_faggio/3_recit_2_che_non_fe.ft3")</f>
        <v>http://lutemusic.org/composers/AScarlatti/sotto_l_ombra_d_un_faggio/3_recit_2_che_non_fe.ft3</v>
      </c>
      <c r="AA277" s="0" t="str">
        <f aca="false">HYPERLINK("http://lutemusic.org/composers/AScarlatti/sotto_l_ombra_d_un_faggio/pdf/3_recit_2_che_non_fe.pdf")</f>
        <v>http://lutemusic.org/composers/AScarlatti/sotto_l_ombra_d_un_faggio/pdf/3_recit_2_che_non_fe.pdf</v>
      </c>
      <c r="AB277" s="0" t="str">
        <f aca="false">HYPERLINK("http://lutemusic.org/composers/AScarlatti/sotto_l_ombra_d_un_faggio/midi/3_recit_2_che_non_fe.mid")</f>
        <v>http://lutemusic.org/composers/AScarlatti/sotto_l_ombra_d_un_faggio/midi/3_recit_2_che_non_fe.mid</v>
      </c>
      <c r="AC277" s="0" t="n">
        <v>1573937405</v>
      </c>
      <c r="AD277" s="0" t="n">
        <v>1586042062</v>
      </c>
    </row>
    <row r="278" customFormat="false" ht="12.8" hidden="false" customHeight="false" outlineLevel="0" collapsed="false">
      <c r="A278" s="0" t="s">
        <v>598</v>
      </c>
      <c r="B278" s="0" t="s">
        <v>603</v>
      </c>
      <c r="C278" s="0" t="s">
        <v>552</v>
      </c>
      <c r="E278" s="0" t="s">
        <v>33</v>
      </c>
      <c r="F278" s="0" t="s">
        <v>594</v>
      </c>
      <c r="H278" s="0" t="n">
        <v>1709</v>
      </c>
      <c r="I278" s="0" t="s">
        <v>595</v>
      </c>
      <c r="J278" s="0" t="s">
        <v>36</v>
      </c>
      <c r="K278" s="0" t="s">
        <v>36</v>
      </c>
      <c r="P278" s="0" t="s">
        <v>592</v>
      </c>
      <c r="Q278" s="0" t="s">
        <v>605</v>
      </c>
      <c r="R278" s="0" t="s">
        <v>581</v>
      </c>
      <c r="S278" s="0" t="s">
        <v>326</v>
      </c>
      <c r="T278" s="0" t="n">
        <v>3</v>
      </c>
      <c r="U278" s="0" t="s">
        <v>604</v>
      </c>
      <c r="V278" s="0" t="s">
        <v>40</v>
      </c>
      <c r="Z278" s="0" t="str">
        <f aca="false">HYPERLINK("http://lutemusic.org/composers/AScarlatti/sotto_l_ombra_d_un_faggio/3_recit_2_che_non_fe_S.ft3")</f>
        <v>http://lutemusic.org/composers/AScarlatti/sotto_l_ombra_d_un_faggio/3_recit_2_che_non_fe_S.ft3</v>
      </c>
      <c r="AA278" s="0" t="str">
        <f aca="false">HYPERLINK("http://lutemusic.org/composers/AScarlatti/sotto_l_ombra_d_un_faggio/pdf/3_recit_2_che_non_fe_S.pdf")</f>
        <v>http://lutemusic.org/composers/AScarlatti/sotto_l_ombra_d_un_faggio/pdf/3_recit_2_che_non_fe_S.pdf</v>
      </c>
      <c r="AB278" s="0" t="str">
        <f aca="false">HYPERLINK("http://lutemusic.org/composers/AScarlatti/sotto_l_ombra_d_un_faggio/midi/3_recit_2_che_non_fe_S.mid")</f>
        <v>http://lutemusic.org/composers/AScarlatti/sotto_l_ombra_d_un_faggio/midi/3_recit_2_che_non_fe_S.mid</v>
      </c>
      <c r="AC278" s="0" t="n">
        <v>1573937405</v>
      </c>
      <c r="AD278" s="0" t="n">
        <v>1586042062</v>
      </c>
    </row>
    <row r="279" customFormat="false" ht="12.8" hidden="false" customHeight="false" outlineLevel="0" collapsed="false">
      <c r="A279" s="0" t="s">
        <v>598</v>
      </c>
      <c r="B279" s="0" t="s">
        <v>603</v>
      </c>
      <c r="C279" s="0" t="s">
        <v>552</v>
      </c>
      <c r="E279" s="0" t="s">
        <v>33</v>
      </c>
      <c r="F279" s="0" t="s">
        <v>594</v>
      </c>
      <c r="H279" s="0" t="n">
        <v>1709</v>
      </c>
      <c r="I279" s="0" t="s">
        <v>595</v>
      </c>
      <c r="J279" s="0" t="s">
        <v>36</v>
      </c>
      <c r="K279" s="0" t="s">
        <v>36</v>
      </c>
      <c r="P279" s="0" t="s">
        <v>592</v>
      </c>
      <c r="Q279" s="0" t="s">
        <v>603</v>
      </c>
      <c r="R279" s="0" t="s">
        <v>581</v>
      </c>
      <c r="S279" s="0" t="s">
        <v>326</v>
      </c>
      <c r="T279" s="0" t="n">
        <v>3</v>
      </c>
      <c r="U279" s="0" t="s">
        <v>604</v>
      </c>
      <c r="V279" s="0" t="s">
        <v>41</v>
      </c>
      <c r="Z279" s="0" t="str">
        <f aca="false">HYPERLINK("http://lutemusic.org/composers/AScarlatti/sotto_l_ombra_d_un_faggio/3_recit_2_che_non_fe_T.ft3")</f>
        <v>http://lutemusic.org/composers/AScarlatti/sotto_l_ombra_d_un_faggio/3_recit_2_che_non_fe_T.ft3</v>
      </c>
      <c r="AA279" s="0" t="str">
        <f aca="false">HYPERLINK("http://lutemusic.org/composers/AScarlatti/sotto_l_ombra_d_un_faggio/pdf/3_recit_2_che_non_fe_T.pdf")</f>
        <v>http://lutemusic.org/composers/AScarlatti/sotto_l_ombra_d_un_faggio/pdf/3_recit_2_che_non_fe_T.pdf</v>
      </c>
      <c r="AB279" s="0" t="str">
        <f aca="false">HYPERLINK("http://lutemusic.org/composers/AScarlatti/sotto_l_ombra_d_un_faggio/midi/3_recit_2_che_non_fe_T.mid")</f>
        <v>http://lutemusic.org/composers/AScarlatti/sotto_l_ombra_d_un_faggio/midi/3_recit_2_che_non_fe_T.mid</v>
      </c>
      <c r="AC279" s="0" t="n">
        <v>1573937405</v>
      </c>
      <c r="AD279" s="0" t="n">
        <v>1586042062</v>
      </c>
    </row>
    <row r="280" customFormat="false" ht="12.8" hidden="false" customHeight="false" outlineLevel="0" collapsed="false">
      <c r="A280" s="0" t="s">
        <v>598</v>
      </c>
      <c r="B280" s="0" t="s">
        <v>603</v>
      </c>
      <c r="C280" s="0" t="s">
        <v>552</v>
      </c>
      <c r="E280" s="0" t="s">
        <v>33</v>
      </c>
      <c r="F280" s="0" t="s">
        <v>594</v>
      </c>
      <c r="H280" s="0" t="n">
        <v>1709</v>
      </c>
      <c r="I280" s="0" t="s">
        <v>595</v>
      </c>
      <c r="J280" s="0" t="s">
        <v>36</v>
      </c>
      <c r="K280" s="0" t="s">
        <v>36</v>
      </c>
      <c r="P280" s="0" t="s">
        <v>592</v>
      </c>
      <c r="Q280" s="0" t="s">
        <v>603</v>
      </c>
      <c r="R280" s="0" t="s">
        <v>581</v>
      </c>
      <c r="S280" s="0" t="s">
        <v>326</v>
      </c>
      <c r="T280" s="0" t="n">
        <v>3</v>
      </c>
      <c r="U280" s="0" t="s">
        <v>604</v>
      </c>
      <c r="V280" s="0" t="s">
        <v>606</v>
      </c>
      <c r="Z280" s="0" t="str">
        <f aca="false">HYPERLINK("http://lutemusic.org/composers/AScarlatti/sotto_l_ombra_d_un_faggio/3_recit_2_che_non_fe_VB.ft3")</f>
        <v>http://lutemusic.org/composers/AScarlatti/sotto_l_ombra_d_un_faggio/3_recit_2_che_non_fe_VB.ft3</v>
      </c>
      <c r="AA280" s="0" t="str">
        <f aca="false">HYPERLINK("http://lutemusic.org/composers/AScarlatti/sotto_l_ombra_d_un_faggio/pdf/3_recit_2_che_non_fe_VB.pdf")</f>
        <v>http://lutemusic.org/composers/AScarlatti/sotto_l_ombra_d_un_faggio/pdf/3_recit_2_che_non_fe_VB.pdf</v>
      </c>
      <c r="AB280" s="0" t="str">
        <f aca="false">HYPERLINK("http://lutemusic.org/composers/AScarlatti/sotto_l_ombra_d_un_faggio/midi/3_recit_2_che_non_fe_VB.mid")</f>
        <v>http://lutemusic.org/composers/AScarlatti/sotto_l_ombra_d_un_faggio/midi/3_recit_2_che_non_fe_VB.mid</v>
      </c>
      <c r="AC280" s="0" t="n">
        <v>1573937405</v>
      </c>
      <c r="AD280" s="0" t="n">
        <v>1586042062</v>
      </c>
    </row>
    <row r="281" customFormat="false" ht="12.8" hidden="false" customHeight="false" outlineLevel="0" collapsed="false">
      <c r="A281" s="0" t="s">
        <v>598</v>
      </c>
      <c r="B281" s="0" t="s">
        <v>603</v>
      </c>
      <c r="C281" s="0" t="s">
        <v>552</v>
      </c>
      <c r="E281" s="0" t="s">
        <v>33</v>
      </c>
      <c r="F281" s="0" t="s">
        <v>594</v>
      </c>
      <c r="H281" s="0" t="n">
        <v>1709</v>
      </c>
      <c r="I281" s="0" t="s">
        <v>595</v>
      </c>
      <c r="J281" s="0" t="s">
        <v>36</v>
      </c>
      <c r="K281" s="0" t="s">
        <v>36</v>
      </c>
      <c r="P281" s="0" t="s">
        <v>592</v>
      </c>
      <c r="Q281" s="0" t="s">
        <v>603</v>
      </c>
      <c r="R281" s="0" t="s">
        <v>581</v>
      </c>
      <c r="S281" s="0" t="s">
        <v>326</v>
      </c>
      <c r="T281" s="0" t="n">
        <v>3</v>
      </c>
      <c r="U281" s="0" t="s">
        <v>604</v>
      </c>
      <c r="V281" s="0" t="s">
        <v>602</v>
      </c>
      <c r="Z281" s="0" t="str">
        <f aca="false">HYPERLINK("http://lutemusic.org/composers/AScarlatti/sotto_l_ombra_d_un_faggio/3_recit_2_che_non_fe_VT.ft3")</f>
        <v>http://lutemusic.org/composers/AScarlatti/sotto_l_ombra_d_un_faggio/3_recit_2_che_non_fe_VT.ft3</v>
      </c>
      <c r="AA281" s="0" t="str">
        <f aca="false">HYPERLINK("http://lutemusic.org/composers/AScarlatti/sotto_l_ombra_d_un_faggio/pdf/3_recit_2_che_non_fe_VT.pdf")</f>
        <v>http://lutemusic.org/composers/AScarlatti/sotto_l_ombra_d_un_faggio/pdf/3_recit_2_che_non_fe_VT.pdf</v>
      </c>
      <c r="AB281" s="0" t="str">
        <f aca="false">HYPERLINK("http://lutemusic.org/composers/AScarlatti/sotto_l_ombra_d_un_faggio/midi/3_recit_2_che_non_fe_VT.mid")</f>
        <v>http://lutemusic.org/composers/AScarlatti/sotto_l_ombra_d_un_faggio/midi/3_recit_2_che_non_fe_VT.mid</v>
      </c>
      <c r="AC281" s="0" t="n">
        <v>1573937405</v>
      </c>
      <c r="AD281" s="0" t="n">
        <v>1586042062</v>
      </c>
    </row>
    <row r="282" customFormat="false" ht="12.8" hidden="false" customHeight="false" outlineLevel="0" collapsed="false">
      <c r="A282" s="0" t="s">
        <v>598</v>
      </c>
      <c r="B282" s="0" t="s">
        <v>607</v>
      </c>
      <c r="C282" s="0" t="s">
        <v>552</v>
      </c>
      <c r="E282" s="0" t="s">
        <v>33</v>
      </c>
      <c r="F282" s="0" t="s">
        <v>594</v>
      </c>
      <c r="H282" s="0" t="n">
        <v>1709</v>
      </c>
      <c r="I282" s="0" t="s">
        <v>595</v>
      </c>
      <c r="J282" s="0" t="s">
        <v>36</v>
      </c>
      <c r="K282" s="0" t="s">
        <v>36</v>
      </c>
      <c r="P282" s="0" t="s">
        <v>592</v>
      </c>
      <c r="Q282" s="0" t="s">
        <v>607</v>
      </c>
      <c r="R282" s="0" t="s">
        <v>581</v>
      </c>
      <c r="S282" s="0" t="s">
        <v>590</v>
      </c>
      <c r="T282" s="0" t="n">
        <v>3</v>
      </c>
      <c r="U282" s="0" t="s">
        <v>608</v>
      </c>
      <c r="V282" s="0" t="s">
        <v>40</v>
      </c>
      <c r="Z282" s="0" t="str">
        <f aca="false">HYPERLINK("http://lutemusic.org/composers/AScarlatti/sotto_l_ombra_d_un_faggio/4_aria_2_vieni_o_tirsi_S.ft3")</f>
        <v>http://lutemusic.org/composers/AScarlatti/sotto_l_ombra_d_un_faggio/4_aria_2_vieni_o_tirsi_S.ft3</v>
      </c>
      <c r="AA282" s="0" t="str">
        <f aca="false">HYPERLINK("http://lutemusic.org/composers/AScarlatti/sotto_l_ombra_d_un_faggio/pdf/4_aria_2_vieni_o_tirsi_S.pdf")</f>
        <v>http://lutemusic.org/composers/AScarlatti/sotto_l_ombra_d_un_faggio/pdf/4_aria_2_vieni_o_tirsi_S.pdf</v>
      </c>
      <c r="AB282" s="0" t="str">
        <f aca="false">HYPERLINK("http://lutemusic.org/composers/AScarlatti/sotto_l_ombra_d_un_faggio/midi/4_aria_2_vieni_o_tirsi_S.mid")</f>
        <v>http://lutemusic.org/composers/AScarlatti/sotto_l_ombra_d_un_faggio/midi/4_aria_2_vieni_o_tirsi_S.mid</v>
      </c>
      <c r="AC282" s="0" t="n">
        <v>1573937405</v>
      </c>
      <c r="AD282" s="0" t="n">
        <v>1586042062</v>
      </c>
    </row>
    <row r="283" customFormat="false" ht="12.8" hidden="false" customHeight="false" outlineLevel="0" collapsed="false">
      <c r="A283" s="0" t="s">
        <v>598</v>
      </c>
      <c r="B283" s="0" t="s">
        <v>607</v>
      </c>
      <c r="C283" s="0" t="s">
        <v>552</v>
      </c>
      <c r="E283" s="0" t="s">
        <v>33</v>
      </c>
      <c r="F283" s="0" t="s">
        <v>594</v>
      </c>
      <c r="H283" s="0" t="n">
        <v>1709</v>
      </c>
      <c r="I283" s="0" t="s">
        <v>595</v>
      </c>
      <c r="J283" s="0" t="s">
        <v>36</v>
      </c>
      <c r="K283" s="0" t="s">
        <v>36</v>
      </c>
      <c r="P283" s="0" t="s">
        <v>592</v>
      </c>
      <c r="Q283" s="0" t="s">
        <v>607</v>
      </c>
      <c r="R283" s="0" t="s">
        <v>581</v>
      </c>
      <c r="S283" s="0" t="s">
        <v>590</v>
      </c>
      <c r="T283" s="0" t="n">
        <v>3</v>
      </c>
      <c r="U283" s="0" t="s">
        <v>608</v>
      </c>
      <c r="V283" s="0" t="s">
        <v>41</v>
      </c>
      <c r="Z283" s="0" t="str">
        <f aca="false">HYPERLINK("http://lutemusic.org/composers/AScarlatti/sotto_l_ombra_d_un_faggio/4_aria_2_vieni_o_tirsi_T.ft3")</f>
        <v>http://lutemusic.org/composers/AScarlatti/sotto_l_ombra_d_un_faggio/4_aria_2_vieni_o_tirsi_T.ft3</v>
      </c>
      <c r="AA283" s="0" t="str">
        <f aca="false">HYPERLINK("http://lutemusic.org/composers/AScarlatti/sotto_l_ombra_d_un_faggio/pdf/4_aria_2_vieni_o_tirsi_T.pdf")</f>
        <v>http://lutemusic.org/composers/AScarlatti/sotto_l_ombra_d_un_faggio/pdf/4_aria_2_vieni_o_tirsi_T.pdf</v>
      </c>
      <c r="AB283" s="0" t="str">
        <f aca="false">HYPERLINK("http://lutemusic.org/composers/AScarlatti/sotto_l_ombra_d_un_faggio/midi/4_aria_2_vieni_o_tirsi_T.mid")</f>
        <v>http://lutemusic.org/composers/AScarlatti/sotto_l_ombra_d_un_faggio/midi/4_aria_2_vieni_o_tirsi_T.mid</v>
      </c>
      <c r="AC283" s="0" t="n">
        <v>1573937405</v>
      </c>
      <c r="AD283" s="0" t="n">
        <v>1586042062</v>
      </c>
    </row>
    <row r="284" customFormat="false" ht="12.8" hidden="false" customHeight="false" outlineLevel="0" collapsed="false">
      <c r="A284" s="0" t="s">
        <v>598</v>
      </c>
      <c r="B284" s="0" t="s">
        <v>607</v>
      </c>
      <c r="C284" s="0" t="s">
        <v>552</v>
      </c>
      <c r="E284" s="0" t="s">
        <v>33</v>
      </c>
      <c r="F284" s="0" t="s">
        <v>594</v>
      </c>
      <c r="H284" s="0" t="n">
        <v>1709</v>
      </c>
      <c r="I284" s="0" t="s">
        <v>595</v>
      </c>
      <c r="J284" s="0" t="s">
        <v>36</v>
      </c>
      <c r="K284" s="0" t="s">
        <v>36</v>
      </c>
      <c r="P284" s="0" t="s">
        <v>592</v>
      </c>
      <c r="Q284" s="0" t="s">
        <v>607</v>
      </c>
      <c r="R284" s="0" t="s">
        <v>581</v>
      </c>
      <c r="S284" s="0" t="s">
        <v>590</v>
      </c>
      <c r="T284" s="0" t="n">
        <v>3</v>
      </c>
      <c r="U284" s="0" t="s">
        <v>608</v>
      </c>
      <c r="V284" s="0" t="s">
        <v>602</v>
      </c>
      <c r="Z284" s="0" t="str">
        <f aca="false">HYPERLINK("http://lutemusic.org/composers/AScarlatti/sotto_l_ombra_d_un_faggio/4_aria_2_vieni_o_tirsi_VT.ft3")</f>
        <v>http://lutemusic.org/composers/AScarlatti/sotto_l_ombra_d_un_faggio/4_aria_2_vieni_o_tirsi_VT.ft3</v>
      </c>
      <c r="AA284" s="0" t="str">
        <f aca="false">HYPERLINK("http://lutemusic.org/composers/AScarlatti/sotto_l_ombra_d_un_faggio/pdf/4_aria_2_vieni_o_tirsi_VT.pdf")</f>
        <v>http://lutemusic.org/composers/AScarlatti/sotto_l_ombra_d_un_faggio/pdf/4_aria_2_vieni_o_tirsi_VT.pdf</v>
      </c>
      <c r="AB284" s="0" t="str">
        <f aca="false">HYPERLINK("http://lutemusic.org/composers/AScarlatti/sotto_l_ombra_d_un_faggio/midi/4_aria_2_vieni_o_tirsi_VT.mid")</f>
        <v>http://lutemusic.org/composers/AScarlatti/sotto_l_ombra_d_un_faggio/midi/4_aria_2_vieni_o_tirsi_VT.mid</v>
      </c>
      <c r="AC284" s="0" t="n">
        <v>1573937405</v>
      </c>
      <c r="AD284" s="0" t="n">
        <v>1586042062</v>
      </c>
    </row>
    <row r="285" customFormat="false" ht="12.8" hidden="false" customHeight="false" outlineLevel="0" collapsed="false">
      <c r="A285" s="0" t="s">
        <v>609</v>
      </c>
      <c r="C285" s="0" t="s">
        <v>610</v>
      </c>
      <c r="E285" s="0" t="s">
        <v>74</v>
      </c>
      <c r="F285" s="0" t="s">
        <v>159</v>
      </c>
      <c r="H285" s="0" t="n">
        <v>1600</v>
      </c>
      <c r="I285" s="0" t="s">
        <v>611</v>
      </c>
      <c r="J285" s="0" t="s">
        <v>36</v>
      </c>
      <c r="K285" s="0" t="s">
        <v>36</v>
      </c>
      <c r="P285" s="0" t="s">
        <v>609</v>
      </c>
      <c r="R285" s="0" t="s">
        <v>318</v>
      </c>
      <c r="S285" s="0" t="s">
        <v>62</v>
      </c>
      <c r="T285" s="0" t="n">
        <v>2</v>
      </c>
      <c r="U285" s="0" t="s">
        <v>143</v>
      </c>
      <c r="Y285" s="0" t="str">
        <f aca="false">HYPERLINK("http://lutemusic.org/facsimiles/GB-Cu_Cambridge_University_Library/Dd.2.11b_1600/100.png")</f>
        <v>http://lutemusic.org/facsimiles/GB-Cu_Cambridge_University_Library/Dd.2.11b_1600/100.png</v>
      </c>
      <c r="Z285" s="0" t="str">
        <f aca="false">HYPERLINK("http://lutemusic.org/composers/Askue/askue_jig.ft3")</f>
        <v>http://lutemusic.org/composers/Askue/askue_jig.ft3</v>
      </c>
      <c r="AA285" s="0" t="str">
        <f aca="false">HYPERLINK("http://lutemusic.org/composers/Askue/pdf/askue_jig.pdf")</f>
        <v>http://lutemusic.org/composers/Askue/pdf/askue_jig.pdf</v>
      </c>
      <c r="AB285" s="0" t="str">
        <f aca="false">HYPERLINK("http://lutemusic.org/composers/Askue/midi/askue_jig.mid")</f>
        <v>http://lutemusic.org/composers/Askue/midi/askue_jig.mid</v>
      </c>
      <c r="AC285" s="0" t="n">
        <v>1573937406</v>
      </c>
      <c r="AD285" s="0" t="n">
        <v>1586042062</v>
      </c>
    </row>
    <row r="286" customFormat="false" ht="12.8" hidden="false" customHeight="false" outlineLevel="0" collapsed="false">
      <c r="A286" s="0" t="s">
        <v>612</v>
      </c>
      <c r="C286" s="0" t="s">
        <v>613</v>
      </c>
      <c r="E286" s="0" t="s">
        <v>613</v>
      </c>
      <c r="F286" s="0" t="s">
        <v>614</v>
      </c>
      <c r="H286" s="0" t="n">
        <v>1622</v>
      </c>
      <c r="I286" s="0" t="s">
        <v>35</v>
      </c>
      <c r="J286" s="0" t="s">
        <v>36</v>
      </c>
      <c r="K286" s="0" t="s">
        <v>36</v>
      </c>
      <c r="P286" s="0" t="s">
        <v>612</v>
      </c>
      <c r="R286" s="0" t="s">
        <v>615</v>
      </c>
      <c r="S286" s="0" t="s">
        <v>480</v>
      </c>
      <c r="T286" s="0" t="n">
        <v>3</v>
      </c>
      <c r="U286" s="0" t="s">
        <v>455</v>
      </c>
      <c r="V286" s="0" t="s">
        <v>53</v>
      </c>
      <c r="Z286" s="0" t="str">
        <f aca="false">HYPERLINK("http://lutemusic.org/composers/Attey/songs/sweet_was_the_song/sweet_was_the_song.ft3")</f>
        <v>http://lutemusic.org/composers/Attey/songs/sweet_was_the_song/sweet_was_the_song.ft3</v>
      </c>
      <c r="AA286" s="0" t="str">
        <f aca="false">HYPERLINK("http://lutemusic.org/composers/Attey/songs/sweet_was_the_song/pdf/sweet_was_the_song.pdf")</f>
        <v>http://lutemusic.org/composers/Attey/songs/sweet_was_the_song/pdf/sweet_was_the_song.pdf</v>
      </c>
      <c r="AB286" s="0" t="str">
        <f aca="false">HYPERLINK("http://lutemusic.org/composers/Attey/songs/sweet_was_the_song/midi/sweet_was_the_song.mid")</f>
        <v>http://lutemusic.org/composers/Attey/songs/sweet_was_the_song/midi/sweet_was_the_song.mid</v>
      </c>
      <c r="AC286" s="0" t="n">
        <v>1573937406</v>
      </c>
      <c r="AD286" s="0" t="n">
        <v>1586042062</v>
      </c>
    </row>
    <row r="287" customFormat="false" ht="12.8" hidden="false" customHeight="false" outlineLevel="0" collapsed="false">
      <c r="A287" s="0" t="s">
        <v>612</v>
      </c>
      <c r="C287" s="0" t="s">
        <v>613</v>
      </c>
      <c r="E287" s="0" t="s">
        <v>613</v>
      </c>
      <c r="F287" s="0" t="s">
        <v>614</v>
      </c>
      <c r="H287" s="0" t="n">
        <v>1622</v>
      </c>
      <c r="I287" s="0" t="s">
        <v>35</v>
      </c>
      <c r="J287" s="0" t="s">
        <v>36</v>
      </c>
      <c r="K287" s="0" t="s">
        <v>36</v>
      </c>
      <c r="P287" s="0" t="s">
        <v>612</v>
      </c>
      <c r="R287" s="0" t="s">
        <v>615</v>
      </c>
      <c r="S287" s="0" t="s">
        <v>480</v>
      </c>
      <c r="T287" s="0" t="n">
        <v>3</v>
      </c>
      <c r="U287" s="0" t="s">
        <v>455</v>
      </c>
      <c r="V287" s="0" t="s">
        <v>53</v>
      </c>
      <c r="Z287" s="0" t="str">
        <f aca="false">HYPERLINK("http://lutemusic.org/composers/Attey/songs/sweet_was_the_song/sweet_was_the_song_T.ft3")</f>
        <v>http://lutemusic.org/composers/Attey/songs/sweet_was_the_song/sweet_was_the_song_T.ft3</v>
      </c>
      <c r="AA287" s="0" t="str">
        <f aca="false">HYPERLINK("http://lutemusic.org/composers/Attey/songs/sweet_was_the_song/pdf/sweet_was_the_song_T.pdf")</f>
        <v>http://lutemusic.org/composers/Attey/songs/sweet_was_the_song/pdf/sweet_was_the_song_T.pdf</v>
      </c>
      <c r="AB287" s="0" t="str">
        <f aca="false">HYPERLINK("http://lutemusic.org/composers/Attey/songs/sweet_was_the_song/midi/sweet_was_the_song_T.mid")</f>
        <v>http://lutemusic.org/composers/Attey/songs/sweet_was_the_song/midi/sweet_was_the_song_T.mid</v>
      </c>
      <c r="AC287" s="0" t="n">
        <v>1573937406</v>
      </c>
      <c r="AD287" s="0" t="n">
        <v>1586042062</v>
      </c>
    </row>
    <row r="288" customFormat="false" ht="12.8" hidden="false" customHeight="false" outlineLevel="0" collapsed="false">
      <c r="A288" s="0" t="s">
        <v>616</v>
      </c>
      <c r="C288" s="0" t="s">
        <v>617</v>
      </c>
      <c r="E288" s="0" t="s">
        <v>618</v>
      </c>
      <c r="F288" s="0" t="s">
        <v>619</v>
      </c>
      <c r="H288" s="0" t="n">
        <v>1570</v>
      </c>
      <c r="J288" s="0" t="s">
        <v>36</v>
      </c>
      <c r="K288" s="0" t="s">
        <v>36</v>
      </c>
      <c r="P288" s="0" t="s">
        <v>616</v>
      </c>
      <c r="R288" s="0" t="s">
        <v>51</v>
      </c>
      <c r="S288" s="0" t="s">
        <v>62</v>
      </c>
      <c r="T288" s="0" t="n">
        <v>3</v>
      </c>
      <c r="U288" s="0" t="s">
        <v>620</v>
      </c>
      <c r="V288" s="0" t="s">
        <v>40</v>
      </c>
      <c r="Z288" s="0" t="str">
        <f aca="false">HYPERLINK("http://lutemusic.org/composers/Azzaiolo/chi_passa_per_sta_strada.ft3")</f>
        <v>http://lutemusic.org/composers/Azzaiolo/chi_passa_per_sta_strada.ft3</v>
      </c>
      <c r="AA288" s="0" t="str">
        <f aca="false">HYPERLINK("http://lutemusic.org/composers/Azzaiolo/pdf/chi_passa_per_sta_strada.pdf")</f>
        <v>http://lutemusic.org/composers/Azzaiolo/pdf/chi_passa_per_sta_strada.pdf</v>
      </c>
      <c r="AB288" s="0" t="str">
        <f aca="false">HYPERLINK("http://lutemusic.org/composers/Azzaiolo/midi/chi_passa_per_sta_strada.mid")</f>
        <v>http://lutemusic.org/composers/Azzaiolo/midi/chi_passa_per_sta_strada.mid</v>
      </c>
      <c r="AC288" s="0" t="n">
        <v>1573937406</v>
      </c>
      <c r="AD288" s="0" t="n">
        <v>1586042062</v>
      </c>
    </row>
    <row r="289" customFormat="false" ht="12.8" hidden="false" customHeight="false" outlineLevel="0" collapsed="false">
      <c r="A289" s="0" t="s">
        <v>616</v>
      </c>
      <c r="C289" s="0" t="s">
        <v>617</v>
      </c>
      <c r="E289" s="0" t="s">
        <v>618</v>
      </c>
      <c r="F289" s="0" t="s">
        <v>619</v>
      </c>
      <c r="H289" s="0" t="n">
        <v>1570</v>
      </c>
      <c r="J289" s="0" t="s">
        <v>36</v>
      </c>
      <c r="K289" s="0" t="s">
        <v>36</v>
      </c>
      <c r="P289" s="0" t="s">
        <v>616</v>
      </c>
      <c r="R289" s="0" t="s">
        <v>51</v>
      </c>
      <c r="S289" s="0" t="s">
        <v>62</v>
      </c>
      <c r="T289" s="0" t="n">
        <v>3</v>
      </c>
      <c r="U289" s="0" t="s">
        <v>620</v>
      </c>
      <c r="V289" s="0" t="s">
        <v>143</v>
      </c>
      <c r="Z289" s="0" t="str">
        <f aca="false">HYPERLINK("http://lutemusic.org/composers/Azzaiolo/chi_passa_per_sta_strada_T.ft3")</f>
        <v>http://lutemusic.org/composers/Azzaiolo/chi_passa_per_sta_strada_T.ft3</v>
      </c>
      <c r="AA289" s="0" t="str">
        <f aca="false">HYPERLINK("http://lutemusic.org/composers/Azzaiolo/pdf/chi_passa_per_sta_strada_T.pdf")</f>
        <v>http://lutemusic.org/composers/Azzaiolo/pdf/chi_passa_per_sta_strada_T.pdf</v>
      </c>
      <c r="AB289" s="0" t="str">
        <f aca="false">HYPERLINK("http://lutemusic.org/composers/Azzaiolo/midi/chi_passa_per_sta_strada_T.mid")</f>
        <v>http://lutemusic.org/composers/Azzaiolo/midi/chi_passa_per_sta_strada_T.mid</v>
      </c>
      <c r="AC289" s="0" t="n">
        <v>1573937406</v>
      </c>
      <c r="AD289" s="0" t="n">
        <v>1586042062</v>
      </c>
    </row>
    <row r="290" customFormat="false" ht="12.8" hidden="false" customHeight="false" outlineLevel="0" collapsed="false">
      <c r="A290" s="0" t="s">
        <v>621</v>
      </c>
      <c r="C290" s="0" t="s">
        <v>622</v>
      </c>
      <c r="E290" s="0" t="s">
        <v>622</v>
      </c>
      <c r="F290" s="0" t="s">
        <v>623</v>
      </c>
      <c r="H290" s="0" t="n">
        <v>1730</v>
      </c>
      <c r="J290" s="0" t="s">
        <v>36</v>
      </c>
      <c r="K290" s="0" t="s">
        <v>36</v>
      </c>
      <c r="P290" s="0" t="s">
        <v>624</v>
      </c>
      <c r="R290" s="0" t="s">
        <v>625</v>
      </c>
      <c r="S290" s="0" t="s">
        <v>38</v>
      </c>
      <c r="T290" s="0" t="n">
        <v>5</v>
      </c>
      <c r="U290" s="0" t="s">
        <v>626</v>
      </c>
      <c r="V290" s="0" t="s">
        <v>40</v>
      </c>
      <c r="Z290" s="0" t="str">
        <f aca="false">HYPERLINK("http://lutemusic.org/composers/Bach/0051_jauchzet_gott_in_allen_landen/jauchzet_gott_in_allen_landen_S.ft3")</f>
        <v>http://lutemusic.org/composers/Bach/0051_jauchzet_gott_in_allen_landen/jauchzet_gott_in_allen_landen_S.ft3</v>
      </c>
      <c r="AA290" s="0" t="str">
        <f aca="false">HYPERLINK("http://lutemusic.org/composers/Bach/0051_jauchzet_gott_in_allen_landen/pdf/jauchzet_gott_in_allen_landen_S.pdf")</f>
        <v>http://lutemusic.org/composers/Bach/0051_jauchzet_gott_in_allen_landen/pdf/jauchzet_gott_in_allen_landen_S.pdf</v>
      </c>
      <c r="AB290" s="0" t="str">
        <f aca="false">HYPERLINK("http://lutemusic.org/composers/Bach/0051_jauchzet_gott_in_allen_landen/midi/jauchzet_gott_in_allen_landen_S.mid")</f>
        <v>http://lutemusic.org/composers/Bach/0051_jauchzet_gott_in_allen_landen/midi/jauchzet_gott_in_allen_landen_S.mid</v>
      </c>
      <c r="AC290" s="0" t="n">
        <v>1573937407</v>
      </c>
      <c r="AD290" s="0" t="n">
        <v>1586042062</v>
      </c>
    </row>
    <row r="291" customFormat="false" ht="12.8" hidden="false" customHeight="false" outlineLevel="0" collapsed="false">
      <c r="A291" s="0" t="s">
        <v>621</v>
      </c>
      <c r="C291" s="0" t="s">
        <v>622</v>
      </c>
      <c r="E291" s="0" t="s">
        <v>622</v>
      </c>
      <c r="F291" s="0" t="s">
        <v>623</v>
      </c>
      <c r="H291" s="0" t="n">
        <v>1730</v>
      </c>
      <c r="J291" s="0" t="s">
        <v>36</v>
      </c>
      <c r="K291" s="0" t="s">
        <v>36</v>
      </c>
      <c r="P291" s="0" t="s">
        <v>624</v>
      </c>
      <c r="R291" s="0" t="s">
        <v>625</v>
      </c>
      <c r="T291" s="0" t="n">
        <v>5</v>
      </c>
      <c r="U291" s="0" t="s">
        <v>626</v>
      </c>
      <c r="V291" s="0" t="s">
        <v>41</v>
      </c>
      <c r="Z291" s="0" t="str">
        <f aca="false">HYPERLINK("http://lutemusic.org/composers/Bach/0051_jauchzet_gott_in_allen_landen/jauchzet_gott_in_allen_landen_T.ft3")</f>
        <v>http://lutemusic.org/composers/Bach/0051_jauchzet_gott_in_allen_landen/jauchzet_gott_in_allen_landen_T.ft3</v>
      </c>
      <c r="AA291" s="0" t="str">
        <f aca="false">HYPERLINK("http://lutemusic.org/composers/Bach/0051_jauchzet_gott_in_allen_landen/pdf/jauchzet_gott_in_allen_landen_T.pdf")</f>
        <v>http://lutemusic.org/composers/Bach/0051_jauchzet_gott_in_allen_landen/pdf/jauchzet_gott_in_allen_landen_T.pdf</v>
      </c>
      <c r="AB291" s="0" t="str">
        <f aca="false">HYPERLINK("http://lutemusic.org/composers/Bach/0051_jauchzet_gott_in_allen_landen/midi/jauchzet_gott_in_allen_landen_T.mid")</f>
        <v>http://lutemusic.org/composers/Bach/0051_jauchzet_gott_in_allen_landen/midi/jauchzet_gott_in_allen_landen_T.mid</v>
      </c>
      <c r="AC291" s="0" t="n">
        <v>1573937407</v>
      </c>
      <c r="AD291" s="0" t="n">
        <v>1586042062</v>
      </c>
    </row>
    <row r="292" customFormat="false" ht="12.8" hidden="false" customHeight="false" outlineLevel="0" collapsed="false">
      <c r="A292" s="0" t="s">
        <v>627</v>
      </c>
      <c r="C292" s="0" t="s">
        <v>622</v>
      </c>
      <c r="E292" s="0" t="s">
        <v>622</v>
      </c>
      <c r="F292" s="0" t="s">
        <v>628</v>
      </c>
      <c r="H292" s="0" t="n">
        <v>1723</v>
      </c>
      <c r="J292" s="0" t="s">
        <v>36</v>
      </c>
      <c r="K292" s="0" t="s">
        <v>36</v>
      </c>
      <c r="L292" s="0" t="s">
        <v>36</v>
      </c>
      <c r="P292" s="0" t="s">
        <v>629</v>
      </c>
      <c r="R292" s="0" t="s">
        <v>625</v>
      </c>
      <c r="S292" s="0" t="s">
        <v>152</v>
      </c>
      <c r="T292" s="0" t="n">
        <v>5</v>
      </c>
      <c r="U292" s="0" t="s">
        <v>41</v>
      </c>
      <c r="Z292" s="0" t="str">
        <f aca="false">HYPERLINK("http://lutemusic.org/composers/Bach/0089_gerechter_gott/gerechter_gott.ft3")</f>
        <v>http://lutemusic.org/composers/Bach/0089_gerechter_gott/gerechter_gott.ft3</v>
      </c>
      <c r="AA292" s="0" t="str">
        <f aca="false">HYPERLINK("http://lutemusic.org/composers/Bach/0089_gerechter_gott/pdf/gerechter_gott.pdf")</f>
        <v>http://lutemusic.org/composers/Bach/0089_gerechter_gott/pdf/gerechter_gott.pdf</v>
      </c>
      <c r="AB292" s="0" t="str">
        <f aca="false">HYPERLINK("http://lutemusic.org/composers/Bach/0089_gerechter_gott/midi/gerechter_gott.mid")</f>
        <v>http://lutemusic.org/composers/Bach/0089_gerechter_gott/midi/gerechter_gott.mid</v>
      </c>
      <c r="AC292" s="0" t="n">
        <v>1573937407</v>
      </c>
      <c r="AD292" s="0" t="n">
        <v>1586042062</v>
      </c>
    </row>
    <row r="293" customFormat="false" ht="12.8" hidden="false" customHeight="false" outlineLevel="0" collapsed="false">
      <c r="A293" s="0" t="s">
        <v>630</v>
      </c>
      <c r="C293" s="0" t="s">
        <v>622</v>
      </c>
      <c r="E293" s="0" t="s">
        <v>622</v>
      </c>
      <c r="F293" s="0" t="s">
        <v>631</v>
      </c>
      <c r="H293" s="0" t="n">
        <v>1724</v>
      </c>
      <c r="J293" s="0" t="s">
        <v>36</v>
      </c>
      <c r="K293" s="0" t="s">
        <v>36</v>
      </c>
      <c r="P293" s="0" t="s">
        <v>632</v>
      </c>
      <c r="Q293" s="0" t="s">
        <v>630</v>
      </c>
      <c r="R293" s="0" t="s">
        <v>625</v>
      </c>
      <c r="S293" s="0" t="s">
        <v>119</v>
      </c>
      <c r="T293" s="0" t="n">
        <v>5</v>
      </c>
      <c r="U293" s="0" t="s">
        <v>633</v>
      </c>
      <c r="V293" s="0" t="s">
        <v>41</v>
      </c>
      <c r="Z293" s="0" t="str">
        <f aca="false">HYPERLINK("http://lutemusic.org/composers/Bach/0093_ich_will_auf/ich_will_auf.ft3")</f>
        <v>http://lutemusic.org/composers/Bach/0093_ich_will_auf/ich_will_auf.ft3</v>
      </c>
      <c r="AA293" s="0" t="str">
        <f aca="false">HYPERLINK("http://lutemusic.org/composers/Bach/0093_ich_will_auf/pdf/ich_will_auf.pdf")</f>
        <v>http://lutemusic.org/composers/Bach/0093_ich_will_auf/pdf/ich_will_auf.pdf</v>
      </c>
      <c r="AB293" s="0" t="str">
        <f aca="false">HYPERLINK("http://lutemusic.org/composers/Bach/0093_ich_will_auf/midi/ich_will_auf.mid")</f>
        <v>http://lutemusic.org/composers/Bach/0093_ich_will_auf/midi/ich_will_auf.mid</v>
      </c>
      <c r="AC293" s="0" t="n">
        <v>1573937407</v>
      </c>
      <c r="AD293" s="0" t="n">
        <v>1586042062</v>
      </c>
    </row>
    <row r="294" customFormat="false" ht="12.8" hidden="false" customHeight="false" outlineLevel="0" collapsed="false">
      <c r="A294" s="0" t="s">
        <v>634</v>
      </c>
      <c r="C294" s="0" t="s">
        <v>622</v>
      </c>
      <c r="E294" s="0" t="s">
        <v>622</v>
      </c>
      <c r="F294" s="0" t="s">
        <v>635</v>
      </c>
      <c r="H294" s="0" t="n">
        <v>1715</v>
      </c>
      <c r="I294" s="0" t="s">
        <v>636</v>
      </c>
      <c r="J294" s="0" t="s">
        <v>36</v>
      </c>
      <c r="K294" s="0" t="s">
        <v>36</v>
      </c>
      <c r="L294" s="0" t="s">
        <v>36</v>
      </c>
      <c r="P294" s="0" t="s">
        <v>634</v>
      </c>
      <c r="R294" s="0" t="s">
        <v>637</v>
      </c>
      <c r="S294" s="0" t="s">
        <v>84</v>
      </c>
      <c r="T294" s="0" t="n">
        <v>3</v>
      </c>
      <c r="U294" s="0" t="s">
        <v>41</v>
      </c>
      <c r="Z294" s="0" t="str">
        <f aca="false">HYPERLINK("http://lutemusic.org/composers/Bach/0114-5_menuets1_and_2/menuett_1_anna_m_arch.ft3")</f>
        <v>http://lutemusic.org/composers/Bach/0114-5_menuets1_and_2/menuett_1_anna_m_arch.ft3</v>
      </c>
      <c r="AA294" s="0" t="str">
        <f aca="false">HYPERLINK("http://lutemusic.org/composers/Bach/0114-5_menuets1_and_2/pdf/menuett_1_anna_m_arch.pdf")</f>
        <v>http://lutemusic.org/composers/Bach/0114-5_menuets1_and_2/pdf/menuett_1_anna_m_arch.pdf</v>
      </c>
      <c r="AB294" s="0" t="str">
        <f aca="false">HYPERLINK("http://lutemusic.org/composers/Bach/0114-5_menuets1_and_2/midi/menuett_1_anna_m_arch.mid")</f>
        <v>http://lutemusic.org/composers/Bach/0114-5_menuets1_and_2/midi/menuett_1_anna_m_arch.mid</v>
      </c>
      <c r="AC294" s="0" t="n">
        <v>1573937407</v>
      </c>
      <c r="AD294" s="0" t="n">
        <v>1586042062</v>
      </c>
    </row>
    <row r="295" customFormat="false" ht="12.8" hidden="false" customHeight="false" outlineLevel="0" collapsed="false">
      <c r="A295" s="0" t="s">
        <v>634</v>
      </c>
      <c r="C295" s="0" t="s">
        <v>622</v>
      </c>
      <c r="E295" s="0" t="s">
        <v>622</v>
      </c>
      <c r="F295" s="0" t="s">
        <v>638</v>
      </c>
      <c r="H295" s="0" t="n">
        <v>1715</v>
      </c>
      <c r="I295" s="0" t="s">
        <v>639</v>
      </c>
      <c r="J295" s="0" t="s">
        <v>36</v>
      </c>
      <c r="K295" s="0" t="s">
        <v>36</v>
      </c>
      <c r="L295" s="0" t="s">
        <v>36</v>
      </c>
      <c r="P295" s="0" t="s">
        <v>634</v>
      </c>
      <c r="R295" s="0" t="s">
        <v>637</v>
      </c>
      <c r="S295" s="0" t="s">
        <v>84</v>
      </c>
      <c r="T295" s="0" t="n">
        <v>3</v>
      </c>
      <c r="U295" s="0" t="s">
        <v>41</v>
      </c>
      <c r="Z295" s="0" t="str">
        <f aca="false">HYPERLINK("http://lutemusic.org/composers/Bach/0114-5_menuets1_and_2/menuett_2_anna_m_arch.ft3")</f>
        <v>http://lutemusic.org/composers/Bach/0114-5_menuets1_and_2/menuett_2_anna_m_arch.ft3</v>
      </c>
      <c r="AA295" s="0" t="str">
        <f aca="false">HYPERLINK("http://lutemusic.org/composers/Bach/0114-5_menuets1_and_2/pdf/menuett_2_anna_m_arch.pdf")</f>
        <v>http://lutemusic.org/composers/Bach/0114-5_menuets1_and_2/pdf/menuett_2_anna_m_arch.pdf</v>
      </c>
      <c r="AB295" s="0" t="str">
        <f aca="false">HYPERLINK("http://lutemusic.org/composers/Bach/0114-5_menuets1_and_2/midi/menuett_2_anna_m_arch.mid")</f>
        <v>http://lutemusic.org/composers/Bach/0114-5_menuets1_and_2/midi/menuett_2_anna_m_arch.mid</v>
      </c>
      <c r="AC295" s="0" t="n">
        <v>1573937407</v>
      </c>
      <c r="AD295" s="0" t="n">
        <v>1586042062</v>
      </c>
    </row>
    <row r="296" customFormat="false" ht="12.8" hidden="false" customHeight="false" outlineLevel="0" collapsed="false">
      <c r="A296" s="0" t="s">
        <v>640</v>
      </c>
      <c r="C296" s="0" t="s">
        <v>622</v>
      </c>
      <c r="E296" s="0" t="s">
        <v>622</v>
      </c>
      <c r="F296" s="0" t="s">
        <v>641</v>
      </c>
      <c r="H296" s="0" t="n">
        <v>1715</v>
      </c>
      <c r="I296" s="0" t="s">
        <v>642</v>
      </c>
      <c r="J296" s="0" t="s">
        <v>643</v>
      </c>
      <c r="K296" s="0" t="s">
        <v>643</v>
      </c>
      <c r="P296" s="0" t="s">
        <v>640</v>
      </c>
      <c r="R296" s="0" t="s">
        <v>111</v>
      </c>
      <c r="S296" s="0" t="s">
        <v>326</v>
      </c>
      <c r="T296" s="0" t="n">
        <v>5</v>
      </c>
      <c r="U296" s="0" t="s">
        <v>644</v>
      </c>
      <c r="Z296" s="0" t="str">
        <f aca="false">HYPERLINK("http://lutemusic.org/composers/Bach/0122_march_anna_m_bar/marche_DM_anna_m_bar.ft3")</f>
        <v>http://lutemusic.org/composers/Bach/0122_march_anna_m_bar/marche_DM_anna_m_bar.ft3</v>
      </c>
      <c r="AA296" s="0" t="str">
        <f aca="false">HYPERLINK("http://lutemusic.org/composers/Bach/0122_march_anna_m_bar/pdf/marche_DM_anna_m_bar.pdf")</f>
        <v>http://lutemusic.org/composers/Bach/0122_march_anna_m_bar/pdf/marche_DM_anna_m_bar.pdf</v>
      </c>
      <c r="AB296" s="0" t="str">
        <f aca="false">HYPERLINK("http://lutemusic.org/composers/Bach/0122_march_anna_m_bar/midi/marche_DM_anna_m_bar.mid")</f>
        <v>http://lutemusic.org/composers/Bach/0122_march_anna_m_bar/midi/marche_DM_anna_m_bar.mid</v>
      </c>
      <c r="AC296" s="0" t="n">
        <v>1573937407</v>
      </c>
      <c r="AD296" s="0" t="n">
        <v>1586042062</v>
      </c>
    </row>
    <row r="297" customFormat="false" ht="12.8" hidden="false" customHeight="false" outlineLevel="0" collapsed="false">
      <c r="A297" s="0" t="s">
        <v>645</v>
      </c>
      <c r="B297" s="0" t="s">
        <v>646</v>
      </c>
      <c r="C297" s="0" t="s">
        <v>622</v>
      </c>
      <c r="E297" s="0" t="s">
        <v>622</v>
      </c>
      <c r="F297" s="0" t="s">
        <v>647</v>
      </c>
      <c r="H297" s="0" t="n">
        <v>1725</v>
      </c>
      <c r="J297" s="0" t="s">
        <v>36</v>
      </c>
      <c r="K297" s="0" t="s">
        <v>36</v>
      </c>
      <c r="P297" s="0" t="s">
        <v>648</v>
      </c>
      <c r="R297" s="0" t="s">
        <v>625</v>
      </c>
      <c r="S297" s="0" t="s">
        <v>119</v>
      </c>
      <c r="T297" s="0" t="n">
        <v>2</v>
      </c>
      <c r="U297" s="0" t="s">
        <v>63</v>
      </c>
      <c r="Z297" s="0" t="str">
        <f aca="false">HYPERLINK("http://lutemusic.org/composers/Bach/0127_die_seele_ruht/die_seele_ruht.ft3")</f>
        <v>http://lutemusic.org/composers/Bach/0127_die_seele_ruht/die_seele_ruht.ft3</v>
      </c>
      <c r="AA297" s="0" t="str">
        <f aca="false">HYPERLINK("http://lutemusic.org/composers/Bach/0127_die_seele_ruht/pdf/die_seele_ruht.pdf")</f>
        <v>http://lutemusic.org/composers/Bach/0127_die_seele_ruht/pdf/die_seele_ruht.pdf</v>
      </c>
      <c r="AB297" s="0" t="str">
        <f aca="false">HYPERLINK("http://lutemusic.org/composers/Bach/0127_die_seele_ruht/midi/die_seele_ruht.mid")</f>
        <v>http://lutemusic.org/composers/Bach/0127_die_seele_ruht/midi/die_seele_ruht.mid</v>
      </c>
      <c r="AC297" s="0" t="n">
        <v>1573937407</v>
      </c>
      <c r="AD297" s="0" t="n">
        <v>1586042062</v>
      </c>
    </row>
    <row r="298" customFormat="false" ht="12.8" hidden="false" customHeight="false" outlineLevel="0" collapsed="false">
      <c r="A298" s="0" t="s">
        <v>649</v>
      </c>
      <c r="C298" s="0" t="s">
        <v>622</v>
      </c>
      <c r="E298" s="0" t="s">
        <v>622</v>
      </c>
      <c r="F298" s="0" t="s">
        <v>650</v>
      </c>
      <c r="H298" s="0" t="n">
        <v>1731</v>
      </c>
      <c r="J298" s="0" t="s">
        <v>36</v>
      </c>
      <c r="K298" s="0" t="s">
        <v>36</v>
      </c>
      <c r="L298" s="0" t="s">
        <v>357</v>
      </c>
      <c r="P298" s="0" t="s">
        <v>649</v>
      </c>
      <c r="R298" s="0" t="s">
        <v>625</v>
      </c>
      <c r="S298" s="0" t="s">
        <v>338</v>
      </c>
      <c r="T298" s="0" t="n">
        <v>5</v>
      </c>
      <c r="U298" s="0" t="s">
        <v>570</v>
      </c>
      <c r="V298" s="0" t="s">
        <v>40</v>
      </c>
      <c r="Z298" s="0" t="str">
        <f aca="false">HYPERLINK("http://lutemusic.org/composers/Bach/0140_wachet_auf/wachet_auf_arch.ft3")</f>
        <v>http://lutemusic.org/composers/Bach/0140_wachet_auf/wachet_auf_arch.ft3</v>
      </c>
      <c r="AA298" s="0" t="str">
        <f aca="false">HYPERLINK("http://lutemusic.org/composers/Bach/0140_wachet_auf/pdf/wachet_auf_arch.pdf")</f>
        <v>http://lutemusic.org/composers/Bach/0140_wachet_auf/pdf/wachet_auf_arch.pdf</v>
      </c>
      <c r="AB298" s="0" t="str">
        <f aca="false">HYPERLINK("http://lutemusic.org/composers/Bach/0140_wachet_auf/midi/wachet_auf_arch.mid")</f>
        <v>http://lutemusic.org/composers/Bach/0140_wachet_auf/midi/wachet_auf_arch.mid</v>
      </c>
      <c r="AC298" s="0" t="n">
        <v>1573937407</v>
      </c>
      <c r="AD298" s="0" t="n">
        <v>1586042062</v>
      </c>
    </row>
    <row r="299" customFormat="false" ht="12.8" hidden="false" customHeight="false" outlineLevel="0" collapsed="false">
      <c r="A299" s="0" t="s">
        <v>649</v>
      </c>
      <c r="C299" s="0" t="s">
        <v>622</v>
      </c>
      <c r="E299" s="0" t="s">
        <v>622</v>
      </c>
      <c r="F299" s="0" t="s">
        <v>650</v>
      </c>
      <c r="H299" s="0" t="n">
        <v>1731</v>
      </c>
      <c r="J299" s="0" t="s">
        <v>36</v>
      </c>
      <c r="K299" s="0" t="s">
        <v>36</v>
      </c>
      <c r="L299" s="0" t="s">
        <v>357</v>
      </c>
      <c r="P299" s="0" t="s">
        <v>649</v>
      </c>
      <c r="R299" s="0" t="s">
        <v>625</v>
      </c>
      <c r="S299" s="0" t="s">
        <v>338</v>
      </c>
      <c r="T299" s="0" t="n">
        <v>5</v>
      </c>
      <c r="U299" s="0" t="s">
        <v>570</v>
      </c>
      <c r="V299" s="0" t="s">
        <v>41</v>
      </c>
      <c r="Z299" s="0" t="str">
        <f aca="false">HYPERLINK("http://lutemusic.org/composers/Bach/0140_wachet_auf/wachet_auf_arch_T.ft3")</f>
        <v>http://lutemusic.org/composers/Bach/0140_wachet_auf/wachet_auf_arch_T.ft3</v>
      </c>
      <c r="AA299" s="0" t="str">
        <f aca="false">HYPERLINK("http://lutemusic.org/composers/Bach/0140_wachet_auf/pdf/wachet_auf_arch_T.pdf")</f>
        <v>http://lutemusic.org/composers/Bach/0140_wachet_auf/pdf/wachet_auf_arch_T.pdf</v>
      </c>
      <c r="AB299" s="0" t="str">
        <f aca="false">HYPERLINK("http://lutemusic.org/composers/Bach/0140_wachet_auf/midi/wachet_auf_arch_T.mid")</f>
        <v>http://lutemusic.org/composers/Bach/0140_wachet_auf/midi/wachet_auf_arch_T.mid</v>
      </c>
      <c r="AC299" s="0" t="n">
        <v>1573937407</v>
      </c>
      <c r="AD299" s="0" t="n">
        <v>1586042062</v>
      </c>
    </row>
    <row r="300" customFormat="false" ht="12.8" hidden="false" customHeight="false" outlineLevel="0" collapsed="false">
      <c r="A300" s="0" t="s">
        <v>649</v>
      </c>
      <c r="C300" s="0" t="s">
        <v>622</v>
      </c>
      <c r="E300" s="0" t="s">
        <v>622</v>
      </c>
      <c r="F300" s="0" t="s">
        <v>650</v>
      </c>
      <c r="H300" s="0" t="n">
        <v>1731</v>
      </c>
      <c r="J300" s="0" t="s">
        <v>36</v>
      </c>
      <c r="K300" s="0" t="s">
        <v>36</v>
      </c>
      <c r="L300" s="0" t="s">
        <v>357</v>
      </c>
      <c r="P300" s="0" t="s">
        <v>649</v>
      </c>
      <c r="R300" s="0" t="s">
        <v>625</v>
      </c>
      <c r="S300" s="0" t="s">
        <v>38</v>
      </c>
      <c r="T300" s="0" t="n">
        <v>5</v>
      </c>
      <c r="U300" s="0" t="s">
        <v>651</v>
      </c>
      <c r="Z300" s="0" t="str">
        <f aca="false">HYPERLINK("http://lutemusic.org/composers/Bach/0140_wachet_auf/wachet_auf_bar_C.ft3")</f>
        <v>http://lutemusic.org/composers/Bach/0140_wachet_auf/wachet_auf_bar_C.ft3</v>
      </c>
      <c r="AA300" s="0" t="str">
        <f aca="false">HYPERLINK("http://lutemusic.org/composers/Bach/0140_wachet_auf/pdf/wachet_auf_bar_C.pdf")</f>
        <v>http://lutemusic.org/composers/Bach/0140_wachet_auf/pdf/wachet_auf_bar_C.pdf</v>
      </c>
      <c r="AB300" s="0" t="str">
        <f aca="false">HYPERLINK("http://lutemusic.org/composers/Bach/0140_wachet_auf/midi/wachet_auf_bar_C.mid")</f>
        <v>http://lutemusic.org/composers/Bach/0140_wachet_auf/midi/wachet_auf_bar_C.mid</v>
      </c>
      <c r="AC300" s="0" t="n">
        <v>1573937407</v>
      </c>
      <c r="AD300" s="0" t="n">
        <v>1586042062</v>
      </c>
    </row>
    <row r="301" customFormat="false" ht="12.8" hidden="false" customHeight="false" outlineLevel="0" collapsed="false">
      <c r="A301" s="0" t="s">
        <v>649</v>
      </c>
      <c r="C301" s="0" t="s">
        <v>622</v>
      </c>
      <c r="E301" s="0" t="s">
        <v>622</v>
      </c>
      <c r="F301" s="0" t="s">
        <v>650</v>
      </c>
      <c r="H301" s="0" t="n">
        <v>1731</v>
      </c>
      <c r="J301" s="0" t="s">
        <v>36</v>
      </c>
      <c r="K301" s="0" t="s">
        <v>36</v>
      </c>
      <c r="L301" s="0" t="s">
        <v>357</v>
      </c>
      <c r="P301" s="0" t="s">
        <v>649</v>
      </c>
      <c r="R301" s="0" t="s">
        <v>625</v>
      </c>
      <c r="S301" s="0" t="s">
        <v>38</v>
      </c>
      <c r="T301" s="0" t="n">
        <v>5</v>
      </c>
      <c r="U301" s="0" t="s">
        <v>644</v>
      </c>
      <c r="Z301" s="0" t="str">
        <f aca="false">HYPERLINK("http://lutemusic.org/composers/Bach/0140_wachet_auf/wachet_auf_bar_C_T.ft3")</f>
        <v>http://lutemusic.org/composers/Bach/0140_wachet_auf/wachet_auf_bar_C_T.ft3</v>
      </c>
      <c r="AA301" s="0" t="str">
        <f aca="false">HYPERLINK("http://lutemusic.org/composers/Bach/0140_wachet_auf/pdf/wachet_auf_bar_C_T.pdf")</f>
        <v>http://lutemusic.org/composers/Bach/0140_wachet_auf/pdf/wachet_auf_bar_C_T.pdf</v>
      </c>
      <c r="AB301" s="0" t="str">
        <f aca="false">HYPERLINK("http://lutemusic.org/composers/Bach/0140_wachet_auf/midi/wachet_auf_bar_C_T.mid")</f>
        <v>http://lutemusic.org/composers/Bach/0140_wachet_auf/midi/wachet_auf_bar_C_T.mid</v>
      </c>
      <c r="AC301" s="0" t="n">
        <v>1573937407</v>
      </c>
      <c r="AD301" s="0" t="n">
        <v>1586042062</v>
      </c>
    </row>
    <row r="302" customFormat="false" ht="12.8" hidden="false" customHeight="false" outlineLevel="0" collapsed="false">
      <c r="A302" s="0" t="s">
        <v>652</v>
      </c>
      <c r="B302" s="0" t="s">
        <v>653</v>
      </c>
      <c r="C302" s="0" t="s">
        <v>622</v>
      </c>
      <c r="E302" s="0" t="s">
        <v>622</v>
      </c>
      <c r="F302" s="0" t="s">
        <v>654</v>
      </c>
      <c r="H302" s="0" t="n">
        <v>1715</v>
      </c>
      <c r="I302" s="0" t="s">
        <v>655</v>
      </c>
      <c r="J302" s="0" t="s">
        <v>36</v>
      </c>
      <c r="K302" s="0" t="s">
        <v>36</v>
      </c>
      <c r="P302" s="0" t="s">
        <v>656</v>
      </c>
      <c r="Q302" s="0" t="s">
        <v>657</v>
      </c>
      <c r="R302" s="0" t="s">
        <v>658</v>
      </c>
      <c r="S302" s="0" t="s">
        <v>338</v>
      </c>
      <c r="T302" s="0" t="n">
        <v>2</v>
      </c>
      <c r="U302" s="0" t="s">
        <v>143</v>
      </c>
      <c r="Z302" s="0" t="str">
        <f aca="false">HYPERLINK("http://lutemusic.org/composers/Bach/0808_english_suite_gavotte_2/0808_gavotte2_ren.ft3")</f>
        <v>http://lutemusic.org/composers/Bach/0808_english_suite_gavotte_2/0808_gavotte2_ren.ft3</v>
      </c>
      <c r="AA302" s="0" t="str">
        <f aca="false">HYPERLINK("http://lutemusic.org/composers/Bach/0808_english_suite_gavotte_2/pdf/0808_gavotte2_ren.pdf")</f>
        <v>http://lutemusic.org/composers/Bach/0808_english_suite_gavotte_2/pdf/0808_gavotte2_ren.pdf</v>
      </c>
      <c r="AB302" s="0" t="str">
        <f aca="false">HYPERLINK("http://lutemusic.org/composers/Bach/0808_english_suite_gavotte_2/midi/0808_gavotte2_ren.mid")</f>
        <v>http://lutemusic.org/composers/Bach/0808_english_suite_gavotte_2/midi/0808_gavotte2_ren.mid</v>
      </c>
      <c r="AC302" s="0" t="n">
        <v>1573937407</v>
      </c>
      <c r="AD302" s="0" t="n">
        <v>1586042062</v>
      </c>
    </row>
    <row r="303" customFormat="false" ht="12.8" hidden="false" customHeight="false" outlineLevel="0" collapsed="false">
      <c r="A303" s="0" t="s">
        <v>659</v>
      </c>
      <c r="B303" s="0" t="s">
        <v>660</v>
      </c>
      <c r="C303" s="0" t="s">
        <v>622</v>
      </c>
      <c r="E303" s="0" t="s">
        <v>622</v>
      </c>
      <c r="F303" s="0" t="s">
        <v>661</v>
      </c>
      <c r="H303" s="0" t="n">
        <v>1760</v>
      </c>
      <c r="J303" s="0" t="s">
        <v>36</v>
      </c>
      <c r="K303" s="0" t="s">
        <v>36</v>
      </c>
      <c r="L303" s="0" t="s">
        <v>357</v>
      </c>
      <c r="P303" s="0" t="s">
        <v>662</v>
      </c>
      <c r="Q303" s="0" t="s">
        <v>660</v>
      </c>
      <c r="R303" s="0" t="s">
        <v>663</v>
      </c>
      <c r="S303" s="0" t="s">
        <v>152</v>
      </c>
      <c r="T303" s="0" t="n">
        <v>5</v>
      </c>
      <c r="U303" s="0" t="s">
        <v>664</v>
      </c>
      <c r="Z303" s="0" t="str">
        <f aca="false">HYPERLINK("http://lutemusic.org/composers/Bach/0821_harps_suite_BbM_sarabande_arch/0821_sarabande.ft3")</f>
        <v>http://lutemusic.org/composers/Bach/0821_harps_suite_BbM_sarabande_arch/0821_sarabande.ft3</v>
      </c>
      <c r="AA303" s="0" t="str">
        <f aca="false">HYPERLINK("http://lutemusic.org/composers/Bach/0821_harps_suite_BbM_sarabande_arch/pdf/0821_sarabande.pdf")</f>
        <v>http://lutemusic.org/composers/Bach/0821_harps_suite_BbM_sarabande_arch/pdf/0821_sarabande.pdf</v>
      </c>
      <c r="AB303" s="0" t="str">
        <f aca="false">HYPERLINK("http://lutemusic.org/composers/Bach/0821_harps_suite_BbM_sarabande_arch/midi/0821_sarabande.mid")</f>
        <v>http://lutemusic.org/composers/Bach/0821_harps_suite_BbM_sarabande_arch/midi/0821_sarabande.mid</v>
      </c>
      <c r="AC303" s="0" t="n">
        <v>1573937407</v>
      </c>
      <c r="AD303" s="0" t="n">
        <v>1586042062</v>
      </c>
    </row>
    <row r="304" customFormat="false" ht="12.8" hidden="false" customHeight="false" outlineLevel="0" collapsed="false">
      <c r="A304" s="0" t="s">
        <v>665</v>
      </c>
      <c r="B304" s="0" t="s">
        <v>551</v>
      </c>
      <c r="C304" s="0" t="s">
        <v>622</v>
      </c>
      <c r="E304" s="0" t="s">
        <v>622</v>
      </c>
      <c r="F304" s="0" t="s">
        <v>666</v>
      </c>
      <c r="H304" s="0" t="n">
        <v>1741</v>
      </c>
      <c r="J304" s="0" t="s">
        <v>36</v>
      </c>
      <c r="K304" s="0" t="s">
        <v>36</v>
      </c>
      <c r="L304" s="0" t="s">
        <v>357</v>
      </c>
      <c r="P304" s="0" t="s">
        <v>665</v>
      </c>
      <c r="Q304" s="0" t="s">
        <v>551</v>
      </c>
      <c r="R304" s="0" t="s">
        <v>556</v>
      </c>
      <c r="S304" s="0" t="s">
        <v>152</v>
      </c>
      <c r="T304" s="0" t="n">
        <v>5</v>
      </c>
      <c r="U304" s="0" t="s">
        <v>41</v>
      </c>
      <c r="Z304" s="0" t="str">
        <f aca="false">HYPERLINK("http://lutemusic.org/composers/Bach/0988_goldberg_aria/goldberg_variations_aria_arch.ft3")</f>
        <v>http://lutemusic.org/composers/Bach/0988_goldberg_aria/goldberg_variations_aria_arch.ft3</v>
      </c>
      <c r="AA304" s="0" t="str">
        <f aca="false">HYPERLINK("http://lutemusic.org/composers/Bach/0988_goldberg_aria/pdf/goldberg_variations_aria_arch.pdf")</f>
        <v>http://lutemusic.org/composers/Bach/0988_goldberg_aria/pdf/goldberg_variations_aria_arch.pdf</v>
      </c>
      <c r="AB304" s="0" t="str">
        <f aca="false">HYPERLINK("http://lutemusic.org/composers/Bach/0988_goldberg_aria/midi/goldberg_variations_aria_arch.mid")</f>
        <v>http://lutemusic.org/composers/Bach/0988_goldberg_aria/midi/goldberg_variations_aria_arch.mid</v>
      </c>
      <c r="AC304" s="0" t="n">
        <v>1573937407</v>
      </c>
      <c r="AD304" s="0" t="n">
        <v>1586042062</v>
      </c>
    </row>
    <row r="305" customFormat="false" ht="12.8" hidden="false" customHeight="false" outlineLevel="0" collapsed="false">
      <c r="A305" s="0" t="s">
        <v>665</v>
      </c>
      <c r="B305" s="0" t="s">
        <v>551</v>
      </c>
      <c r="C305" s="0" t="s">
        <v>622</v>
      </c>
      <c r="E305" s="0" t="s">
        <v>622</v>
      </c>
      <c r="F305" s="0" t="s">
        <v>666</v>
      </c>
      <c r="H305" s="0" t="n">
        <v>1741</v>
      </c>
      <c r="J305" s="0" t="s">
        <v>36</v>
      </c>
      <c r="K305" s="0" t="s">
        <v>36</v>
      </c>
      <c r="L305" s="0" t="s">
        <v>357</v>
      </c>
      <c r="P305" s="0" t="s">
        <v>665</v>
      </c>
      <c r="Q305" s="0" t="s">
        <v>551</v>
      </c>
      <c r="R305" s="0" t="s">
        <v>556</v>
      </c>
      <c r="S305" s="0" t="s">
        <v>152</v>
      </c>
      <c r="T305" s="0" t="n">
        <v>5</v>
      </c>
      <c r="U305" s="0" t="s">
        <v>644</v>
      </c>
      <c r="Z305" s="0" t="str">
        <f aca="false">HYPERLINK("http://lutemusic.org/composers/Bach/0988_goldberg_aria/goldberg_variations_aria_bar.ft3")</f>
        <v>http://lutemusic.org/composers/Bach/0988_goldberg_aria/goldberg_variations_aria_bar.ft3</v>
      </c>
      <c r="AA305" s="0" t="str">
        <f aca="false">HYPERLINK("http://lutemusic.org/composers/Bach/0988_goldberg_aria/pdf/goldberg_variations_aria_bar.pdf")</f>
        <v>http://lutemusic.org/composers/Bach/0988_goldberg_aria/pdf/goldberg_variations_aria_bar.pdf</v>
      </c>
      <c r="AB305" s="0" t="str">
        <f aca="false">HYPERLINK("http://lutemusic.org/composers/Bach/0988_goldberg_aria/midi/goldberg_variations_aria_bar.mid")</f>
        <v>http://lutemusic.org/composers/Bach/0988_goldberg_aria/midi/goldberg_variations_aria_bar.mid</v>
      </c>
      <c r="AC305" s="0" t="n">
        <v>1573937407</v>
      </c>
      <c r="AD305" s="0" t="n">
        <v>1586042062</v>
      </c>
    </row>
    <row r="306" customFormat="false" ht="12.8" hidden="false" customHeight="false" outlineLevel="0" collapsed="false">
      <c r="A306" s="0" t="s">
        <v>667</v>
      </c>
      <c r="B306" s="0" t="s">
        <v>668</v>
      </c>
      <c r="C306" s="0" t="s">
        <v>622</v>
      </c>
      <c r="E306" s="0" t="s">
        <v>622</v>
      </c>
      <c r="F306" s="0" t="s">
        <v>669</v>
      </c>
      <c r="H306" s="0" t="n">
        <v>1727</v>
      </c>
      <c r="J306" s="0" t="s">
        <v>36</v>
      </c>
      <c r="K306" s="0" t="s">
        <v>670</v>
      </c>
      <c r="L306" s="0" t="s">
        <v>670</v>
      </c>
      <c r="P306" s="0" t="s">
        <v>671</v>
      </c>
      <c r="Q306" s="0" t="s">
        <v>668</v>
      </c>
      <c r="R306" s="0" t="s">
        <v>672</v>
      </c>
      <c r="S306" s="0" t="s">
        <v>119</v>
      </c>
      <c r="T306" s="0" t="n">
        <v>5</v>
      </c>
      <c r="U306" s="0" t="s">
        <v>244</v>
      </c>
      <c r="Z306" s="0" t="str">
        <f aca="false">HYPERLINK("http://lutemusic.org/composers/Bach/0995_lute_suite_Gm_10C/0995_01_prelude.ft3")</f>
        <v>http://lutemusic.org/composers/Bach/0995_lute_suite_Gm_10C/0995_01_prelude.ft3</v>
      </c>
      <c r="AA306" s="0" t="str">
        <f aca="false">HYPERLINK("http://lutemusic.org/composers/Bach/0995_lute_suite_Gm_10C/pdf/0995_01_prelude.pdf")</f>
        <v>http://lutemusic.org/composers/Bach/0995_lute_suite_Gm_10C/pdf/0995_01_prelude.pdf</v>
      </c>
      <c r="AB306" s="0" t="str">
        <f aca="false">HYPERLINK("http://lutemusic.org/composers/Bach/0995_lute_suite_Gm_10C/midi/0995_01_prelude.mid")</f>
        <v>http://lutemusic.org/composers/Bach/0995_lute_suite_Gm_10C/midi/0995_01_prelude.mid</v>
      </c>
      <c r="AC306" s="0" t="n">
        <v>1573937407</v>
      </c>
      <c r="AD306" s="0" t="n">
        <v>1586042062</v>
      </c>
    </row>
    <row r="307" customFormat="false" ht="12.8" hidden="false" customHeight="false" outlineLevel="0" collapsed="false">
      <c r="B307" s="0" t="s">
        <v>673</v>
      </c>
      <c r="C307" s="0" t="s">
        <v>622</v>
      </c>
      <c r="E307" s="0" t="s">
        <v>622</v>
      </c>
      <c r="F307" s="0" t="s">
        <v>669</v>
      </c>
      <c r="H307" s="0" t="n">
        <v>1727</v>
      </c>
      <c r="J307" s="0" t="s">
        <v>36</v>
      </c>
      <c r="K307" s="0" t="s">
        <v>670</v>
      </c>
      <c r="L307" s="0" t="s">
        <v>670</v>
      </c>
      <c r="P307" s="0" t="s">
        <v>667</v>
      </c>
      <c r="Q307" s="0" t="s">
        <v>673</v>
      </c>
      <c r="R307" s="0" t="s">
        <v>234</v>
      </c>
      <c r="S307" s="0" t="s">
        <v>119</v>
      </c>
      <c r="T307" s="0" t="n">
        <v>5</v>
      </c>
      <c r="U307" s="0" t="s">
        <v>244</v>
      </c>
      <c r="Z307" s="0" t="str">
        <f aca="false">HYPERLINK("http://lutemusic.org/composers/Bach/0995_lute_suite_Gm_10C/0995_02_allemande.ft3")</f>
        <v>http://lutemusic.org/composers/Bach/0995_lute_suite_Gm_10C/0995_02_allemande.ft3</v>
      </c>
      <c r="AA307" s="0" t="str">
        <f aca="false">HYPERLINK("http://lutemusic.org/composers/Bach/0995_lute_suite_Gm_10C/pdf/0995_02_allemande.pdf")</f>
        <v>http://lutemusic.org/composers/Bach/0995_lute_suite_Gm_10C/pdf/0995_02_allemande.pdf</v>
      </c>
      <c r="AB307" s="0" t="str">
        <f aca="false">HYPERLINK("http://lutemusic.org/composers/Bach/0995_lute_suite_Gm_10C/midi/0995_02_allemande.mid")</f>
        <v>http://lutemusic.org/composers/Bach/0995_lute_suite_Gm_10C/midi/0995_02_allemande.mid</v>
      </c>
      <c r="AC307" s="0" t="n">
        <v>1573937407</v>
      </c>
      <c r="AD307" s="0" t="n">
        <v>1586042062</v>
      </c>
    </row>
    <row r="308" customFormat="false" ht="12.8" hidden="false" customHeight="false" outlineLevel="0" collapsed="false">
      <c r="B308" s="0" t="s">
        <v>674</v>
      </c>
      <c r="C308" s="0" t="s">
        <v>622</v>
      </c>
      <c r="E308" s="0" t="s">
        <v>622</v>
      </c>
      <c r="F308" s="0" t="s">
        <v>669</v>
      </c>
      <c r="H308" s="0" t="n">
        <v>1727</v>
      </c>
      <c r="J308" s="0" t="s">
        <v>36</v>
      </c>
      <c r="K308" s="0" t="s">
        <v>670</v>
      </c>
      <c r="L308" s="0" t="s">
        <v>670</v>
      </c>
      <c r="P308" s="0" t="s">
        <v>667</v>
      </c>
      <c r="Q308" s="0" t="s">
        <v>674</v>
      </c>
      <c r="R308" s="0" t="s">
        <v>283</v>
      </c>
      <c r="S308" s="0" t="s">
        <v>119</v>
      </c>
      <c r="T308" s="0" t="n">
        <v>3</v>
      </c>
      <c r="U308" s="0" t="s">
        <v>244</v>
      </c>
      <c r="Z308" s="0" t="str">
        <f aca="false">HYPERLINK("http://lutemusic.org/composers/Bach/0995_lute_suite_Gm_10C/0995_03_courante.ft3")</f>
        <v>http://lutemusic.org/composers/Bach/0995_lute_suite_Gm_10C/0995_03_courante.ft3</v>
      </c>
      <c r="AA308" s="0" t="str">
        <f aca="false">HYPERLINK("http://lutemusic.org/composers/Bach/0995_lute_suite_Gm_10C/pdf/0995_03_courante.pdf")</f>
        <v>http://lutemusic.org/composers/Bach/0995_lute_suite_Gm_10C/pdf/0995_03_courante.pdf</v>
      </c>
      <c r="AB308" s="0" t="str">
        <f aca="false">HYPERLINK("http://lutemusic.org/composers/Bach/0995_lute_suite_Gm_10C/midi/0995_03_courante.mid")</f>
        <v>http://lutemusic.org/composers/Bach/0995_lute_suite_Gm_10C/midi/0995_03_courante.mid</v>
      </c>
      <c r="AC308" s="0" t="n">
        <v>1573937407</v>
      </c>
      <c r="AD308" s="0" t="n">
        <v>1586042062</v>
      </c>
    </row>
    <row r="309" customFormat="false" ht="12.8" hidden="false" customHeight="false" outlineLevel="0" collapsed="false">
      <c r="B309" s="0" t="s">
        <v>660</v>
      </c>
      <c r="C309" s="0" t="s">
        <v>622</v>
      </c>
      <c r="E309" s="0" t="s">
        <v>622</v>
      </c>
      <c r="F309" s="0" t="s">
        <v>669</v>
      </c>
      <c r="H309" s="0" t="n">
        <v>1727</v>
      </c>
      <c r="J309" s="0" t="s">
        <v>36</v>
      </c>
      <c r="K309" s="0" t="s">
        <v>670</v>
      </c>
      <c r="L309" s="0" t="s">
        <v>670</v>
      </c>
      <c r="P309" s="0" t="s">
        <v>667</v>
      </c>
      <c r="Q309" s="0" t="s">
        <v>660</v>
      </c>
      <c r="R309" s="0" t="s">
        <v>663</v>
      </c>
      <c r="S309" s="0" t="s">
        <v>119</v>
      </c>
      <c r="T309" s="0" t="n">
        <v>2</v>
      </c>
      <c r="U309" s="0" t="s">
        <v>244</v>
      </c>
      <c r="Z309" s="0" t="str">
        <f aca="false">HYPERLINK("http://lutemusic.org/composers/Bach/0995_lute_suite_Gm_10C/0995_04_sarabande.ft3")</f>
        <v>http://lutemusic.org/composers/Bach/0995_lute_suite_Gm_10C/0995_04_sarabande.ft3</v>
      </c>
      <c r="AA309" s="0" t="str">
        <f aca="false">HYPERLINK("http://lutemusic.org/composers/Bach/0995_lute_suite_Gm_10C/pdf/0995_04_sarabande.pdf")</f>
        <v>http://lutemusic.org/composers/Bach/0995_lute_suite_Gm_10C/pdf/0995_04_sarabande.pdf</v>
      </c>
      <c r="AB309" s="0" t="str">
        <f aca="false">HYPERLINK("http://lutemusic.org/composers/Bach/0995_lute_suite_Gm_10C/midi/0995_04_sarabande.mid")</f>
        <v>http://lutemusic.org/composers/Bach/0995_lute_suite_Gm_10C/midi/0995_04_sarabande.mid</v>
      </c>
      <c r="AC309" s="0" t="n">
        <v>1573937407</v>
      </c>
      <c r="AD309" s="0" t="n">
        <v>1586042062</v>
      </c>
    </row>
    <row r="310" customFormat="false" ht="12.8" hidden="false" customHeight="false" outlineLevel="0" collapsed="false">
      <c r="B310" s="0" t="s">
        <v>675</v>
      </c>
      <c r="C310" s="0" t="s">
        <v>622</v>
      </c>
      <c r="E310" s="0" t="s">
        <v>622</v>
      </c>
      <c r="F310" s="0" t="s">
        <v>669</v>
      </c>
      <c r="H310" s="0" t="n">
        <v>1727</v>
      </c>
      <c r="J310" s="0" t="s">
        <v>36</v>
      </c>
      <c r="K310" s="0" t="s">
        <v>670</v>
      </c>
      <c r="L310" s="0" t="s">
        <v>670</v>
      </c>
      <c r="P310" s="0" t="s">
        <v>667</v>
      </c>
      <c r="Q310" s="0" t="s">
        <v>675</v>
      </c>
      <c r="R310" s="0" t="s">
        <v>658</v>
      </c>
      <c r="S310" s="0" t="s">
        <v>119</v>
      </c>
      <c r="T310" s="0" t="n">
        <v>5</v>
      </c>
      <c r="U310" s="0" t="s">
        <v>244</v>
      </c>
      <c r="Z310" s="0" t="str">
        <f aca="false">HYPERLINK("http://lutemusic.org/composers/Bach/0995_lute_suite_Gm_10C/0995_05_gavotte_1.ft3")</f>
        <v>http://lutemusic.org/composers/Bach/0995_lute_suite_Gm_10C/0995_05_gavotte_1.ft3</v>
      </c>
      <c r="AA310" s="0" t="str">
        <f aca="false">HYPERLINK("http://lutemusic.org/composers/Bach/0995_lute_suite_Gm_10C/pdf/0995_05_gavotte_1.pdf")</f>
        <v>http://lutemusic.org/composers/Bach/0995_lute_suite_Gm_10C/pdf/0995_05_gavotte_1.pdf</v>
      </c>
      <c r="AB310" s="0" t="str">
        <f aca="false">HYPERLINK("http://lutemusic.org/composers/Bach/0995_lute_suite_Gm_10C/midi/0995_05_gavotte_1.mid")</f>
        <v>http://lutemusic.org/composers/Bach/0995_lute_suite_Gm_10C/midi/0995_05_gavotte_1.mid</v>
      </c>
      <c r="AC310" s="0" t="n">
        <v>1573937407</v>
      </c>
      <c r="AD310" s="0" t="n">
        <v>1586042062</v>
      </c>
    </row>
    <row r="311" customFormat="false" ht="12.8" hidden="false" customHeight="false" outlineLevel="0" collapsed="false">
      <c r="B311" s="0" t="s">
        <v>676</v>
      </c>
      <c r="C311" s="0" t="s">
        <v>622</v>
      </c>
      <c r="E311" s="0" t="s">
        <v>622</v>
      </c>
      <c r="F311" s="0" t="s">
        <v>669</v>
      </c>
      <c r="H311" s="0" t="n">
        <v>1727</v>
      </c>
      <c r="J311" s="0" t="s">
        <v>36</v>
      </c>
      <c r="K311" s="0" t="s">
        <v>670</v>
      </c>
      <c r="L311" s="0" t="s">
        <v>670</v>
      </c>
      <c r="P311" s="0" t="s">
        <v>667</v>
      </c>
      <c r="Q311" s="0" t="s">
        <v>676</v>
      </c>
      <c r="R311" s="0" t="s">
        <v>658</v>
      </c>
      <c r="S311" s="0" t="s">
        <v>119</v>
      </c>
      <c r="T311" s="0" t="n">
        <v>5</v>
      </c>
      <c r="U311" s="0" t="s">
        <v>244</v>
      </c>
      <c r="Z311" s="0" t="str">
        <f aca="false">HYPERLINK("http://lutemusic.org/composers/Bach/0995_lute_suite_Gm_10C/0995_06_gavotte_2.ft3")</f>
        <v>http://lutemusic.org/composers/Bach/0995_lute_suite_Gm_10C/0995_06_gavotte_2.ft3</v>
      </c>
      <c r="AA311" s="0" t="str">
        <f aca="false">HYPERLINK("http://lutemusic.org/composers/Bach/0995_lute_suite_Gm_10C/pdf/0995_06_gavotte_2.pdf")</f>
        <v>http://lutemusic.org/composers/Bach/0995_lute_suite_Gm_10C/pdf/0995_06_gavotte_2.pdf</v>
      </c>
      <c r="AB311" s="0" t="str">
        <f aca="false">HYPERLINK("http://lutemusic.org/composers/Bach/0995_lute_suite_Gm_10C/midi/0995_06_gavotte_2.mid")</f>
        <v>http://lutemusic.org/composers/Bach/0995_lute_suite_Gm_10C/midi/0995_06_gavotte_2.mid</v>
      </c>
      <c r="AC311" s="0" t="n">
        <v>1573937407</v>
      </c>
      <c r="AD311" s="0" t="n">
        <v>1586042062</v>
      </c>
    </row>
    <row r="312" customFormat="false" ht="12.8" hidden="false" customHeight="false" outlineLevel="0" collapsed="false">
      <c r="B312" s="0" t="s">
        <v>677</v>
      </c>
      <c r="C312" s="0" t="s">
        <v>622</v>
      </c>
      <c r="E312" s="0" t="s">
        <v>622</v>
      </c>
      <c r="F312" s="0" t="s">
        <v>669</v>
      </c>
      <c r="H312" s="0" t="n">
        <v>1727</v>
      </c>
      <c r="J312" s="0" t="s">
        <v>36</v>
      </c>
      <c r="K312" s="0" t="s">
        <v>670</v>
      </c>
      <c r="L312" s="0" t="s">
        <v>670</v>
      </c>
      <c r="P312" s="0" t="s">
        <v>667</v>
      </c>
      <c r="Q312" s="0" t="s">
        <v>677</v>
      </c>
      <c r="R312" s="0" t="s">
        <v>678</v>
      </c>
      <c r="S312" s="0" t="s">
        <v>119</v>
      </c>
      <c r="T312" s="0" t="n">
        <v>5</v>
      </c>
      <c r="U312" s="0" t="s">
        <v>244</v>
      </c>
      <c r="Z312" s="0" t="str">
        <f aca="false">HYPERLINK("http://lutemusic.org/composers/Bach/0995_lute_suite_Gm_10C/0995_07_gigue.ft3")</f>
        <v>http://lutemusic.org/composers/Bach/0995_lute_suite_Gm_10C/0995_07_gigue.ft3</v>
      </c>
      <c r="AA312" s="0" t="str">
        <f aca="false">HYPERLINK("http://lutemusic.org/composers/Bach/0995_lute_suite_Gm_10C/pdf/0995_07_gigue.pdf")</f>
        <v>http://lutemusic.org/composers/Bach/0995_lute_suite_Gm_10C/pdf/0995_07_gigue.pdf</v>
      </c>
      <c r="AB312" s="0" t="str">
        <f aca="false">HYPERLINK("http://lutemusic.org/composers/Bach/0995_lute_suite_Gm_10C/midi/0995_07_gigue.mid")</f>
        <v>http://lutemusic.org/composers/Bach/0995_lute_suite_Gm_10C/midi/0995_07_gigue.mid</v>
      </c>
      <c r="AC312" s="0" t="n">
        <v>1573937407</v>
      </c>
      <c r="AD312" s="0" t="n">
        <v>1586042062</v>
      </c>
    </row>
    <row r="313" customFormat="false" ht="12.8" hidden="false" customHeight="false" outlineLevel="0" collapsed="false">
      <c r="A313" s="0" t="s">
        <v>667</v>
      </c>
      <c r="B313" s="0" t="s">
        <v>668</v>
      </c>
      <c r="C313" s="0" t="s">
        <v>622</v>
      </c>
      <c r="E313" s="0" t="s">
        <v>622</v>
      </c>
      <c r="F313" s="0" t="s">
        <v>669</v>
      </c>
      <c r="H313" s="0" t="n">
        <v>1727</v>
      </c>
      <c r="J313" s="0" t="s">
        <v>36</v>
      </c>
      <c r="K313" s="0" t="s">
        <v>36</v>
      </c>
      <c r="Q313" s="0" t="s">
        <v>668</v>
      </c>
      <c r="R313" s="0" t="s">
        <v>672</v>
      </c>
      <c r="S313" s="0" t="s">
        <v>119</v>
      </c>
      <c r="T313" s="0" t="n">
        <v>5</v>
      </c>
      <c r="U313" s="0" t="s">
        <v>41</v>
      </c>
      <c r="X313" s="0" t="s">
        <v>679</v>
      </c>
      <c r="Z313" s="0" t="str">
        <f aca="false">HYPERLINK("http://lutemusic.org/composers/Bach/0995_lute_suite_Gm_arch/0995_01_prelude.ft3")</f>
        <v>http://lutemusic.org/composers/Bach/0995_lute_suite_Gm_arch/0995_01_prelude.ft3</v>
      </c>
      <c r="AA313" s="0" t="str">
        <f aca="false">HYPERLINK("http://lutemusic.org/composers/Bach/0995_lute_suite_Gm_arch/pdf/0995_01_prelude.pdf")</f>
        <v>http://lutemusic.org/composers/Bach/0995_lute_suite_Gm_arch/pdf/0995_01_prelude.pdf</v>
      </c>
      <c r="AB313" s="0" t="str">
        <f aca="false">HYPERLINK("http://lutemusic.org/composers/Bach/0995_lute_suite_Gm_arch/midi/0995_01_prelude.mid")</f>
        <v>http://lutemusic.org/composers/Bach/0995_lute_suite_Gm_arch/midi/0995_01_prelude.mid</v>
      </c>
      <c r="AC313" s="0" t="n">
        <v>1573937407</v>
      </c>
      <c r="AD313" s="0" t="n">
        <v>1599525182</v>
      </c>
    </row>
    <row r="314" customFormat="false" ht="12.8" hidden="false" customHeight="false" outlineLevel="0" collapsed="false">
      <c r="B314" s="0" t="s">
        <v>673</v>
      </c>
      <c r="C314" s="0" t="s">
        <v>622</v>
      </c>
      <c r="E314" s="0" t="s">
        <v>622</v>
      </c>
      <c r="F314" s="0" t="s">
        <v>669</v>
      </c>
      <c r="H314" s="0" t="n">
        <v>1727</v>
      </c>
      <c r="J314" s="0" t="s">
        <v>36</v>
      </c>
      <c r="K314" s="0" t="s">
        <v>36</v>
      </c>
      <c r="P314" s="0" t="s">
        <v>667</v>
      </c>
      <c r="Q314" s="0" t="s">
        <v>673</v>
      </c>
      <c r="R314" s="0" t="s">
        <v>234</v>
      </c>
      <c r="S314" s="0" t="s">
        <v>119</v>
      </c>
      <c r="T314" s="0" t="n">
        <v>5</v>
      </c>
      <c r="U314" s="0" t="s">
        <v>41</v>
      </c>
      <c r="Z314" s="0" t="str">
        <f aca="false">HYPERLINK("http://lutemusic.org/composers/Bach/0995_lute_suite_Gm_arch/0995_02_allemande.ft3")</f>
        <v>http://lutemusic.org/composers/Bach/0995_lute_suite_Gm_arch/0995_02_allemande.ft3</v>
      </c>
      <c r="AA314" s="0" t="str">
        <f aca="false">HYPERLINK("http://lutemusic.org/composers/Bach/0995_lute_suite_Gm_arch/pdf/0995_02_allemande.pdf")</f>
        <v>http://lutemusic.org/composers/Bach/0995_lute_suite_Gm_arch/pdf/0995_02_allemande.pdf</v>
      </c>
      <c r="AB314" s="0" t="str">
        <f aca="false">HYPERLINK("http://lutemusic.org/composers/Bach/0995_lute_suite_Gm_arch/midi/0995_02_allemande.mid")</f>
        <v>http://lutemusic.org/composers/Bach/0995_lute_suite_Gm_arch/midi/0995_02_allemande.mid</v>
      </c>
      <c r="AC314" s="0" t="n">
        <v>1573937407</v>
      </c>
      <c r="AD314" s="0" t="n">
        <v>1586042062</v>
      </c>
    </row>
    <row r="315" customFormat="false" ht="12.8" hidden="false" customHeight="false" outlineLevel="0" collapsed="false">
      <c r="B315" s="0" t="s">
        <v>674</v>
      </c>
      <c r="C315" s="0" t="s">
        <v>622</v>
      </c>
      <c r="E315" s="0" t="s">
        <v>622</v>
      </c>
      <c r="F315" s="0" t="s">
        <v>669</v>
      </c>
      <c r="H315" s="0" t="n">
        <v>1727</v>
      </c>
      <c r="J315" s="0" t="s">
        <v>36</v>
      </c>
      <c r="K315" s="0" t="s">
        <v>36</v>
      </c>
      <c r="P315" s="0" t="s">
        <v>667</v>
      </c>
      <c r="Q315" s="0" t="s">
        <v>680</v>
      </c>
      <c r="R315" s="0" t="s">
        <v>283</v>
      </c>
      <c r="S315" s="0" t="s">
        <v>119</v>
      </c>
      <c r="T315" s="0" t="n">
        <v>5</v>
      </c>
      <c r="U315" s="0" t="s">
        <v>41</v>
      </c>
      <c r="Z315" s="0" t="str">
        <f aca="false">HYPERLINK("http://lutemusic.org/composers/Bach/0995_lute_suite_Gm_arch/0995_03_courante.ft3")</f>
        <v>http://lutemusic.org/composers/Bach/0995_lute_suite_Gm_arch/0995_03_courante.ft3</v>
      </c>
      <c r="AA315" s="0" t="str">
        <f aca="false">HYPERLINK("http://lutemusic.org/composers/Bach/0995_lute_suite_Gm_arch/pdf/0995_03_courante.pdf")</f>
        <v>http://lutemusic.org/composers/Bach/0995_lute_suite_Gm_arch/pdf/0995_03_courante.pdf</v>
      </c>
      <c r="AB315" s="0" t="str">
        <f aca="false">HYPERLINK("http://lutemusic.org/composers/Bach/0995_lute_suite_Gm_arch/midi/0995_03_courante.mid")</f>
        <v>http://lutemusic.org/composers/Bach/0995_lute_suite_Gm_arch/midi/0995_03_courante.mid</v>
      </c>
      <c r="AC315" s="0" t="n">
        <v>1573937407</v>
      </c>
      <c r="AD315" s="0" t="n">
        <v>1586042062</v>
      </c>
    </row>
    <row r="316" customFormat="false" ht="12.8" hidden="false" customHeight="false" outlineLevel="0" collapsed="false">
      <c r="B316" s="0" t="s">
        <v>660</v>
      </c>
      <c r="C316" s="0" t="s">
        <v>622</v>
      </c>
      <c r="E316" s="0" t="s">
        <v>622</v>
      </c>
      <c r="F316" s="0" t="s">
        <v>669</v>
      </c>
      <c r="H316" s="0" t="n">
        <v>1727</v>
      </c>
      <c r="J316" s="0" t="s">
        <v>36</v>
      </c>
      <c r="K316" s="0" t="s">
        <v>36</v>
      </c>
      <c r="P316" s="0" t="s">
        <v>667</v>
      </c>
      <c r="Q316" s="0" t="s">
        <v>660</v>
      </c>
      <c r="R316" s="0" t="s">
        <v>663</v>
      </c>
      <c r="S316" s="0" t="s">
        <v>119</v>
      </c>
      <c r="T316" s="0" t="n">
        <v>3</v>
      </c>
      <c r="U316" s="0" t="s">
        <v>41</v>
      </c>
      <c r="Z316" s="0" t="str">
        <f aca="false">HYPERLINK("http://lutemusic.org/composers/Bach/0995_lute_suite_Gm_arch/0995_04_sarabande.ft3")</f>
        <v>http://lutemusic.org/composers/Bach/0995_lute_suite_Gm_arch/0995_04_sarabande.ft3</v>
      </c>
      <c r="AA316" s="0" t="str">
        <f aca="false">HYPERLINK("http://lutemusic.org/composers/Bach/0995_lute_suite_Gm_arch/pdf/0995_04_sarabande.pdf")</f>
        <v>http://lutemusic.org/composers/Bach/0995_lute_suite_Gm_arch/pdf/0995_04_sarabande.pdf</v>
      </c>
      <c r="AB316" s="0" t="str">
        <f aca="false">HYPERLINK("http://lutemusic.org/composers/Bach/0995_lute_suite_Gm_arch/midi/0995_04_sarabande.mid")</f>
        <v>http://lutemusic.org/composers/Bach/0995_lute_suite_Gm_arch/midi/0995_04_sarabande.mid</v>
      </c>
      <c r="AC316" s="0" t="n">
        <v>1573937407</v>
      </c>
      <c r="AD316" s="0" t="n">
        <v>1586042062</v>
      </c>
    </row>
    <row r="317" customFormat="false" ht="12.8" hidden="false" customHeight="false" outlineLevel="0" collapsed="false">
      <c r="B317" s="0" t="s">
        <v>675</v>
      </c>
      <c r="C317" s="0" t="s">
        <v>622</v>
      </c>
      <c r="E317" s="0" t="s">
        <v>622</v>
      </c>
      <c r="F317" s="0" t="s">
        <v>669</v>
      </c>
      <c r="H317" s="0" t="n">
        <v>1727</v>
      </c>
      <c r="J317" s="0" t="s">
        <v>36</v>
      </c>
      <c r="K317" s="0" t="s">
        <v>36</v>
      </c>
      <c r="P317" s="0" t="s">
        <v>667</v>
      </c>
      <c r="Q317" s="0" t="s">
        <v>675</v>
      </c>
      <c r="R317" s="0" t="s">
        <v>658</v>
      </c>
      <c r="S317" s="0" t="s">
        <v>119</v>
      </c>
      <c r="T317" s="0" t="n">
        <v>5</v>
      </c>
      <c r="U317" s="0" t="s">
        <v>41</v>
      </c>
      <c r="Z317" s="0" t="str">
        <f aca="false">HYPERLINK("http://lutemusic.org/composers/Bach/0995_lute_suite_Gm_arch/0995_05_gavotte_1.ft3")</f>
        <v>http://lutemusic.org/composers/Bach/0995_lute_suite_Gm_arch/0995_05_gavotte_1.ft3</v>
      </c>
      <c r="AA317" s="0" t="str">
        <f aca="false">HYPERLINK("http://lutemusic.org/composers/Bach/0995_lute_suite_Gm_arch/pdf/0995_05_gavotte_1.pdf")</f>
        <v>http://lutemusic.org/composers/Bach/0995_lute_suite_Gm_arch/pdf/0995_05_gavotte_1.pdf</v>
      </c>
      <c r="AB317" s="0" t="str">
        <f aca="false">HYPERLINK("http://lutemusic.org/composers/Bach/0995_lute_suite_Gm_arch/midi/0995_05_gavotte_1.mid")</f>
        <v>http://lutemusic.org/composers/Bach/0995_lute_suite_Gm_arch/midi/0995_05_gavotte_1.mid</v>
      </c>
      <c r="AC317" s="0" t="n">
        <v>1573937407</v>
      </c>
      <c r="AD317" s="0" t="n">
        <v>1586042062</v>
      </c>
    </row>
    <row r="318" customFormat="false" ht="12.8" hidden="false" customHeight="false" outlineLevel="0" collapsed="false">
      <c r="B318" s="0" t="s">
        <v>676</v>
      </c>
      <c r="C318" s="0" t="s">
        <v>622</v>
      </c>
      <c r="E318" s="0" t="s">
        <v>622</v>
      </c>
      <c r="F318" s="0" t="s">
        <v>669</v>
      </c>
      <c r="H318" s="0" t="n">
        <v>1727</v>
      </c>
      <c r="J318" s="0" t="s">
        <v>36</v>
      </c>
      <c r="K318" s="0" t="s">
        <v>36</v>
      </c>
      <c r="P318" s="0" t="s">
        <v>667</v>
      </c>
      <c r="Q318" s="0" t="s">
        <v>676</v>
      </c>
      <c r="R318" s="0" t="s">
        <v>658</v>
      </c>
      <c r="S318" s="0" t="s">
        <v>119</v>
      </c>
      <c r="T318" s="0" t="n">
        <v>5</v>
      </c>
      <c r="U318" s="0" t="s">
        <v>41</v>
      </c>
      <c r="Z318" s="0" t="str">
        <f aca="false">HYPERLINK("http://lutemusic.org/composers/Bach/0995_lute_suite_Gm_arch/0995_06_gavotte_2.ft3")</f>
        <v>http://lutemusic.org/composers/Bach/0995_lute_suite_Gm_arch/0995_06_gavotte_2.ft3</v>
      </c>
      <c r="AA318" s="0" t="str">
        <f aca="false">HYPERLINK("http://lutemusic.org/composers/Bach/0995_lute_suite_Gm_arch/pdf/0995_06_gavotte_2.pdf")</f>
        <v>http://lutemusic.org/composers/Bach/0995_lute_suite_Gm_arch/pdf/0995_06_gavotte_2.pdf</v>
      </c>
      <c r="AB318" s="0" t="str">
        <f aca="false">HYPERLINK("http://lutemusic.org/composers/Bach/0995_lute_suite_Gm_arch/midi/0995_06_gavotte_2.mid")</f>
        <v>http://lutemusic.org/composers/Bach/0995_lute_suite_Gm_arch/midi/0995_06_gavotte_2.mid</v>
      </c>
      <c r="AC318" s="0" t="n">
        <v>1573937407</v>
      </c>
      <c r="AD318" s="0" t="n">
        <v>1586042062</v>
      </c>
    </row>
    <row r="319" customFormat="false" ht="12.8" hidden="false" customHeight="false" outlineLevel="0" collapsed="false">
      <c r="B319" s="0" t="s">
        <v>677</v>
      </c>
      <c r="C319" s="0" t="s">
        <v>622</v>
      </c>
      <c r="E319" s="0" t="s">
        <v>622</v>
      </c>
      <c r="F319" s="0" t="s">
        <v>669</v>
      </c>
      <c r="H319" s="0" t="n">
        <v>1727</v>
      </c>
      <c r="J319" s="0" t="s">
        <v>36</v>
      </c>
      <c r="K319" s="0" t="s">
        <v>36</v>
      </c>
      <c r="P319" s="0" t="s">
        <v>667</v>
      </c>
      <c r="Q319" s="0" t="s">
        <v>677</v>
      </c>
      <c r="R319" s="0" t="s">
        <v>678</v>
      </c>
      <c r="S319" s="0" t="s">
        <v>119</v>
      </c>
      <c r="T319" s="0" t="n">
        <v>5</v>
      </c>
      <c r="U319" s="0" t="s">
        <v>41</v>
      </c>
      <c r="Z319" s="0" t="str">
        <f aca="false">HYPERLINK("http://lutemusic.org/composers/Bach/0995_lute_suite_Gm_arch/0995_07_gigue.ft3")</f>
        <v>http://lutemusic.org/composers/Bach/0995_lute_suite_Gm_arch/0995_07_gigue.ft3</v>
      </c>
      <c r="AA319" s="0" t="str">
        <f aca="false">HYPERLINK("http://lutemusic.org/composers/Bach/0995_lute_suite_Gm_arch/pdf/0995_07_gigue.pdf")</f>
        <v>http://lutemusic.org/composers/Bach/0995_lute_suite_Gm_arch/pdf/0995_07_gigue.pdf</v>
      </c>
      <c r="AB319" s="0" t="str">
        <f aca="false">HYPERLINK("http://lutemusic.org/composers/Bach/0995_lute_suite_Gm_arch/midi/0995_07_gigue.mid")</f>
        <v>http://lutemusic.org/composers/Bach/0995_lute_suite_Gm_arch/midi/0995_07_gigue.mid</v>
      </c>
      <c r="AC319" s="0" t="n">
        <v>1573937407</v>
      </c>
      <c r="AD319" s="0" t="n">
        <v>1586042062</v>
      </c>
    </row>
    <row r="320" customFormat="false" ht="12.8" hidden="false" customHeight="false" outlineLevel="0" collapsed="false">
      <c r="A320" s="0" t="s">
        <v>681</v>
      </c>
      <c r="B320" s="0" t="s">
        <v>668</v>
      </c>
      <c r="C320" s="0" t="s">
        <v>622</v>
      </c>
      <c r="E320" s="0" t="s">
        <v>622</v>
      </c>
      <c r="F320" s="0" t="s">
        <v>682</v>
      </c>
      <c r="H320" s="0" t="n">
        <v>1708</v>
      </c>
      <c r="J320" s="0" t="s">
        <v>36</v>
      </c>
      <c r="K320" s="0" t="s">
        <v>36</v>
      </c>
      <c r="P320" s="0" t="s">
        <v>683</v>
      </c>
      <c r="Q320" s="0" t="s">
        <v>668</v>
      </c>
      <c r="R320" s="0" t="s">
        <v>672</v>
      </c>
      <c r="S320" s="0" t="s">
        <v>424</v>
      </c>
      <c r="T320" s="0" t="n">
        <v>5</v>
      </c>
      <c r="U320" s="0" t="s">
        <v>244</v>
      </c>
      <c r="Z320" s="0" t="str">
        <f aca="false">HYPERLINK("http://lutemusic.org/composers/Bach/0996_lute_suite_Em_10C/0996_01_prelude.ft3")</f>
        <v>http://lutemusic.org/composers/Bach/0996_lute_suite_Em_10C/0996_01_prelude.ft3</v>
      </c>
      <c r="AA320" s="0" t="str">
        <f aca="false">HYPERLINK("http://lutemusic.org/composers/Bach/0996_lute_suite_Em_10C/pdf/0996_01_prelude.pdf")</f>
        <v>http://lutemusic.org/composers/Bach/0996_lute_suite_Em_10C/pdf/0996_01_prelude.pdf</v>
      </c>
      <c r="AB320" s="0" t="str">
        <f aca="false">HYPERLINK("http://lutemusic.org/composers/Bach/0996_lute_suite_Em_10C/midi/0996_01_prelude.mid")</f>
        <v>http://lutemusic.org/composers/Bach/0996_lute_suite_Em_10C/midi/0996_01_prelude.mid</v>
      </c>
      <c r="AC320" s="0" t="n">
        <v>1573937407</v>
      </c>
      <c r="AD320" s="0" t="n">
        <v>1586042062</v>
      </c>
    </row>
    <row r="321" customFormat="false" ht="12.8" hidden="false" customHeight="false" outlineLevel="0" collapsed="false">
      <c r="B321" s="0" t="s">
        <v>673</v>
      </c>
      <c r="C321" s="0" t="s">
        <v>622</v>
      </c>
      <c r="E321" s="0" t="s">
        <v>622</v>
      </c>
      <c r="F321" s="0" t="s">
        <v>682</v>
      </c>
      <c r="H321" s="0" t="n">
        <v>1708</v>
      </c>
      <c r="J321" s="0" t="s">
        <v>36</v>
      </c>
      <c r="K321" s="0" t="s">
        <v>36</v>
      </c>
      <c r="P321" s="0" t="s">
        <v>683</v>
      </c>
      <c r="Q321" s="0" t="s">
        <v>673</v>
      </c>
      <c r="R321" s="0" t="s">
        <v>234</v>
      </c>
      <c r="S321" s="0" t="s">
        <v>424</v>
      </c>
      <c r="T321" s="0" t="n">
        <v>5</v>
      </c>
      <c r="U321" s="0" t="s">
        <v>244</v>
      </c>
      <c r="Z321" s="0" t="str">
        <f aca="false">HYPERLINK("http://lutemusic.org/composers/Bach/0996_lute_suite_Em_10C/0996_02_allemande.ft3")</f>
        <v>http://lutemusic.org/composers/Bach/0996_lute_suite_Em_10C/0996_02_allemande.ft3</v>
      </c>
      <c r="AA321" s="0" t="str">
        <f aca="false">HYPERLINK("http://lutemusic.org/composers/Bach/0996_lute_suite_Em_10C/pdf/0996_02_allemande.pdf")</f>
        <v>http://lutemusic.org/composers/Bach/0996_lute_suite_Em_10C/pdf/0996_02_allemande.pdf</v>
      </c>
      <c r="AB321" s="0" t="str">
        <f aca="false">HYPERLINK("http://lutemusic.org/composers/Bach/0996_lute_suite_Em_10C/midi/0996_02_allemande.mid")</f>
        <v>http://lutemusic.org/composers/Bach/0996_lute_suite_Em_10C/midi/0996_02_allemande.mid</v>
      </c>
      <c r="AC321" s="0" t="n">
        <v>1573937407</v>
      </c>
      <c r="AD321" s="0" t="n">
        <v>1586042062</v>
      </c>
    </row>
    <row r="322" customFormat="false" ht="12.8" hidden="false" customHeight="false" outlineLevel="0" collapsed="false">
      <c r="B322" s="0" t="s">
        <v>674</v>
      </c>
      <c r="C322" s="0" t="s">
        <v>622</v>
      </c>
      <c r="E322" s="0" t="s">
        <v>622</v>
      </c>
      <c r="F322" s="0" t="s">
        <v>682</v>
      </c>
      <c r="H322" s="0" t="n">
        <v>1708</v>
      </c>
      <c r="J322" s="0" t="s">
        <v>36</v>
      </c>
      <c r="K322" s="0" t="s">
        <v>36</v>
      </c>
      <c r="P322" s="0" t="s">
        <v>683</v>
      </c>
      <c r="Q322" s="0" t="s">
        <v>674</v>
      </c>
      <c r="R322" s="0" t="s">
        <v>283</v>
      </c>
      <c r="S322" s="0" t="s">
        <v>424</v>
      </c>
      <c r="T322" s="0" t="n">
        <v>5</v>
      </c>
      <c r="U322" s="0" t="s">
        <v>244</v>
      </c>
      <c r="Z322" s="0" t="str">
        <f aca="false">HYPERLINK("http://lutemusic.org/composers/Bach/0996_lute_suite_Em_10C/0996_03_courante.ft3")</f>
        <v>http://lutemusic.org/composers/Bach/0996_lute_suite_Em_10C/0996_03_courante.ft3</v>
      </c>
      <c r="AA322" s="0" t="str">
        <f aca="false">HYPERLINK("http://lutemusic.org/composers/Bach/0996_lute_suite_Em_10C/pdf/0996_03_courante.pdf")</f>
        <v>http://lutemusic.org/composers/Bach/0996_lute_suite_Em_10C/pdf/0996_03_courante.pdf</v>
      </c>
      <c r="AB322" s="0" t="str">
        <f aca="false">HYPERLINK("http://lutemusic.org/composers/Bach/0996_lute_suite_Em_10C/midi/0996_03_courante.mid")</f>
        <v>http://lutemusic.org/composers/Bach/0996_lute_suite_Em_10C/midi/0996_03_courante.mid</v>
      </c>
      <c r="AC322" s="0" t="n">
        <v>1573937407</v>
      </c>
      <c r="AD322" s="0" t="n">
        <v>1586042062</v>
      </c>
    </row>
    <row r="323" customFormat="false" ht="12.8" hidden="false" customHeight="false" outlineLevel="0" collapsed="false">
      <c r="B323" s="0" t="s">
        <v>660</v>
      </c>
      <c r="C323" s="0" t="s">
        <v>622</v>
      </c>
      <c r="E323" s="0" t="s">
        <v>622</v>
      </c>
      <c r="F323" s="0" t="s">
        <v>682</v>
      </c>
      <c r="H323" s="0" t="n">
        <v>1708</v>
      </c>
      <c r="J323" s="0" t="s">
        <v>36</v>
      </c>
      <c r="K323" s="0" t="s">
        <v>36</v>
      </c>
      <c r="P323" s="0" t="s">
        <v>683</v>
      </c>
      <c r="Q323" s="0" t="s">
        <v>660</v>
      </c>
      <c r="R323" s="0" t="s">
        <v>663</v>
      </c>
      <c r="S323" s="0" t="s">
        <v>424</v>
      </c>
      <c r="T323" s="0" t="n">
        <v>5</v>
      </c>
      <c r="U323" s="0" t="s">
        <v>244</v>
      </c>
      <c r="Z323" s="0" t="str">
        <f aca="false">HYPERLINK("http://lutemusic.org/composers/Bach/0996_lute_suite_Em_10C/0996_04_sarabande.ft3")</f>
        <v>http://lutemusic.org/composers/Bach/0996_lute_suite_Em_10C/0996_04_sarabande.ft3</v>
      </c>
      <c r="AA323" s="0" t="str">
        <f aca="false">HYPERLINK("http://lutemusic.org/composers/Bach/0996_lute_suite_Em_10C/pdf/0996_04_sarabande.pdf")</f>
        <v>http://lutemusic.org/composers/Bach/0996_lute_suite_Em_10C/pdf/0996_04_sarabande.pdf</v>
      </c>
      <c r="AB323" s="0" t="str">
        <f aca="false">HYPERLINK("http://lutemusic.org/composers/Bach/0996_lute_suite_Em_10C/midi/0996_04_sarabande.mid")</f>
        <v>http://lutemusic.org/composers/Bach/0996_lute_suite_Em_10C/midi/0996_04_sarabande.mid</v>
      </c>
      <c r="AC323" s="0" t="n">
        <v>1573937407</v>
      </c>
      <c r="AD323" s="0" t="n">
        <v>1586042062</v>
      </c>
    </row>
    <row r="324" customFormat="false" ht="12.8" hidden="false" customHeight="false" outlineLevel="0" collapsed="false">
      <c r="B324" s="0" t="s">
        <v>684</v>
      </c>
      <c r="C324" s="0" t="s">
        <v>622</v>
      </c>
      <c r="E324" s="0" t="s">
        <v>622</v>
      </c>
      <c r="F324" s="0" t="s">
        <v>682</v>
      </c>
      <c r="H324" s="0" t="n">
        <v>1708</v>
      </c>
      <c r="J324" s="0" t="s">
        <v>36</v>
      </c>
      <c r="K324" s="0" t="s">
        <v>36</v>
      </c>
      <c r="P324" s="0" t="s">
        <v>683</v>
      </c>
      <c r="Q324" s="0" t="s">
        <v>684</v>
      </c>
      <c r="R324" s="0" t="s">
        <v>685</v>
      </c>
      <c r="S324" s="0" t="s">
        <v>424</v>
      </c>
      <c r="T324" s="0" t="n">
        <v>5</v>
      </c>
      <c r="U324" s="0" t="s">
        <v>244</v>
      </c>
      <c r="Z324" s="0" t="str">
        <f aca="false">HYPERLINK("http://lutemusic.org/composers/Bach/0996_lute_suite_Em_10C/0996_05a_bouree.ft3")</f>
        <v>http://lutemusic.org/composers/Bach/0996_lute_suite_Em_10C/0996_05a_bouree.ft3</v>
      </c>
      <c r="AA324" s="0" t="str">
        <f aca="false">HYPERLINK("http://lutemusic.org/composers/Bach/0996_lute_suite_Em_10C/pdf/0996_05a_bouree.pdf")</f>
        <v>http://lutemusic.org/composers/Bach/0996_lute_suite_Em_10C/pdf/0996_05a_bouree.pdf</v>
      </c>
      <c r="AB324" s="0" t="str">
        <f aca="false">HYPERLINK("http://lutemusic.org/composers/Bach/0996_lute_suite_Em_10C/midi/0996_05a_bouree.mid")</f>
        <v>http://lutemusic.org/composers/Bach/0996_lute_suite_Em_10C/midi/0996_05a_bouree.mid</v>
      </c>
      <c r="AC324" s="0" t="n">
        <v>1573937407</v>
      </c>
      <c r="AD324" s="0" t="n">
        <v>1586042062</v>
      </c>
    </row>
    <row r="325" customFormat="false" ht="12.8" hidden="false" customHeight="false" outlineLevel="0" collapsed="false">
      <c r="B325" s="0" t="s">
        <v>684</v>
      </c>
      <c r="C325" s="0" t="s">
        <v>622</v>
      </c>
      <c r="E325" s="0" t="s">
        <v>622</v>
      </c>
      <c r="F325" s="0" t="s">
        <v>682</v>
      </c>
      <c r="H325" s="0" t="n">
        <v>1708</v>
      </c>
      <c r="J325" s="0" t="s">
        <v>36</v>
      </c>
      <c r="K325" s="0" t="s">
        <v>36</v>
      </c>
      <c r="P325" s="0" t="s">
        <v>683</v>
      </c>
      <c r="Q325" s="0" t="s">
        <v>684</v>
      </c>
      <c r="R325" s="0" t="s">
        <v>685</v>
      </c>
      <c r="S325" s="0" t="s">
        <v>424</v>
      </c>
      <c r="T325" s="0" t="n">
        <v>5</v>
      </c>
      <c r="U325" s="0" t="s">
        <v>244</v>
      </c>
      <c r="Z325" s="0" t="str">
        <f aca="false">HYPERLINK("http://lutemusic.org/composers/Bach/0996_lute_suite_Em_10C/0996_05_bouree.ft3")</f>
        <v>http://lutemusic.org/composers/Bach/0996_lute_suite_Em_10C/0996_05_bouree.ft3</v>
      </c>
      <c r="AA325" s="0" t="str">
        <f aca="false">HYPERLINK("http://lutemusic.org/composers/Bach/0996_lute_suite_Em_10C/pdf/0996_05_bouree.pdf")</f>
        <v>http://lutemusic.org/composers/Bach/0996_lute_suite_Em_10C/pdf/0996_05_bouree.pdf</v>
      </c>
      <c r="AB325" s="0" t="str">
        <f aca="false">HYPERLINK("http://lutemusic.org/composers/Bach/0996_lute_suite_Em_10C/midi/0996_05_bouree.mid")</f>
        <v>http://lutemusic.org/composers/Bach/0996_lute_suite_Em_10C/midi/0996_05_bouree.mid</v>
      </c>
      <c r="AC325" s="0" t="n">
        <v>1573937407</v>
      </c>
      <c r="AD325" s="0" t="n">
        <v>1586042062</v>
      </c>
    </row>
    <row r="326" customFormat="false" ht="12.8" hidden="false" customHeight="false" outlineLevel="0" collapsed="false">
      <c r="B326" s="0" t="s">
        <v>686</v>
      </c>
      <c r="C326" s="0" t="s">
        <v>622</v>
      </c>
      <c r="E326" s="0" t="s">
        <v>622</v>
      </c>
      <c r="F326" s="0" t="s">
        <v>682</v>
      </c>
      <c r="H326" s="0" t="n">
        <v>1708</v>
      </c>
      <c r="J326" s="0" t="s">
        <v>36</v>
      </c>
      <c r="K326" s="0" t="s">
        <v>36</v>
      </c>
      <c r="P326" s="0" t="s">
        <v>683</v>
      </c>
      <c r="Q326" s="0" t="s">
        <v>686</v>
      </c>
      <c r="R326" s="0" t="s">
        <v>678</v>
      </c>
      <c r="S326" s="0" t="s">
        <v>424</v>
      </c>
      <c r="T326" s="0" t="n">
        <v>5</v>
      </c>
      <c r="U326" s="0" t="s">
        <v>244</v>
      </c>
      <c r="Z326" s="0" t="str">
        <f aca="false">HYPERLINK("http://lutemusic.org/composers/Bach/0996_lute_suite_Em_10C/0996_06_gigue_.ft3")</f>
        <v>http://lutemusic.org/composers/Bach/0996_lute_suite_Em_10C/0996_06_gigue_.ft3</v>
      </c>
      <c r="AA326" s="0" t="str">
        <f aca="false">HYPERLINK("http://lutemusic.org/composers/Bach/0996_lute_suite_Em_10C/pdf/0996_06_gigue_.pdf")</f>
        <v>http://lutemusic.org/composers/Bach/0996_lute_suite_Em_10C/pdf/0996_06_gigue_.pdf</v>
      </c>
      <c r="AB326" s="0" t="str">
        <f aca="false">HYPERLINK("http://lutemusic.org/composers/Bach/0996_lute_suite_Em_10C/midi/0996_06_gigue_.mid")</f>
        <v>http://lutemusic.org/composers/Bach/0996_lute_suite_Em_10C/midi/0996_06_gigue_.mid</v>
      </c>
      <c r="AC326" s="0" t="n">
        <v>1573937407</v>
      </c>
      <c r="AD326" s="0" t="n">
        <v>1586042062</v>
      </c>
    </row>
    <row r="327" customFormat="false" ht="12.8" hidden="false" customHeight="false" outlineLevel="0" collapsed="false">
      <c r="A327" s="0" t="s">
        <v>683</v>
      </c>
      <c r="B327" s="0" t="s">
        <v>668</v>
      </c>
      <c r="C327" s="0" t="s">
        <v>622</v>
      </c>
      <c r="E327" s="0" t="s">
        <v>622</v>
      </c>
      <c r="F327" s="0" t="s">
        <v>682</v>
      </c>
      <c r="H327" s="0" t="n">
        <v>1708</v>
      </c>
      <c r="J327" s="0" t="s">
        <v>36</v>
      </c>
      <c r="K327" s="0" t="s">
        <v>670</v>
      </c>
      <c r="L327" s="0" t="s">
        <v>670</v>
      </c>
      <c r="M327" s="0" t="s">
        <v>670</v>
      </c>
      <c r="P327" s="0" t="s">
        <v>683</v>
      </c>
      <c r="Q327" s="0" t="s">
        <v>668</v>
      </c>
      <c r="R327" s="0" t="s">
        <v>672</v>
      </c>
      <c r="S327" s="0" t="s">
        <v>424</v>
      </c>
      <c r="T327" s="0" t="n">
        <v>5</v>
      </c>
      <c r="U327" s="0" t="s">
        <v>41</v>
      </c>
      <c r="Z327" s="0" t="str">
        <f aca="false">HYPERLINK("http://lutemusic.org/composers/Bach/0996_lute_suite_Em_arch/0996_01_prelude.ft3")</f>
        <v>http://lutemusic.org/composers/Bach/0996_lute_suite_Em_arch/0996_01_prelude.ft3</v>
      </c>
      <c r="AA327" s="0" t="str">
        <f aca="false">HYPERLINK("http://lutemusic.org/composers/Bach/0996_lute_suite_Em_arch/pdf/0996_01_prelude.pdf")</f>
        <v>http://lutemusic.org/composers/Bach/0996_lute_suite_Em_arch/pdf/0996_01_prelude.pdf</v>
      </c>
      <c r="AB327" s="0" t="str">
        <f aca="false">HYPERLINK("http://lutemusic.org/composers/Bach/0996_lute_suite_Em_arch/midi/0996_01_prelude.mid")</f>
        <v>http://lutemusic.org/composers/Bach/0996_lute_suite_Em_arch/midi/0996_01_prelude.mid</v>
      </c>
      <c r="AC327" s="0" t="n">
        <v>1573937407</v>
      </c>
      <c r="AD327" s="0" t="n">
        <v>1586042062</v>
      </c>
    </row>
    <row r="328" customFormat="false" ht="12.8" hidden="false" customHeight="false" outlineLevel="0" collapsed="false">
      <c r="B328" s="0" t="s">
        <v>673</v>
      </c>
      <c r="C328" s="0" t="s">
        <v>622</v>
      </c>
      <c r="E328" s="0" t="s">
        <v>622</v>
      </c>
      <c r="F328" s="0" t="s">
        <v>682</v>
      </c>
      <c r="H328" s="0" t="n">
        <v>1708</v>
      </c>
      <c r="J328" s="0" t="s">
        <v>36</v>
      </c>
      <c r="K328" s="0" t="s">
        <v>670</v>
      </c>
      <c r="L328" s="0" t="s">
        <v>670</v>
      </c>
      <c r="M328" s="0" t="s">
        <v>670</v>
      </c>
      <c r="P328" s="0" t="s">
        <v>683</v>
      </c>
      <c r="Q328" s="0" t="s">
        <v>673</v>
      </c>
      <c r="R328" s="0" t="s">
        <v>234</v>
      </c>
      <c r="S328" s="0" t="s">
        <v>424</v>
      </c>
      <c r="T328" s="0" t="n">
        <v>5</v>
      </c>
      <c r="U328" s="0" t="s">
        <v>41</v>
      </c>
      <c r="Z328" s="0" t="str">
        <f aca="false">HYPERLINK("http://lutemusic.org/composers/Bach/0996_lute_suite_Em_arch/0996_02_allemande.ft3")</f>
        <v>http://lutemusic.org/composers/Bach/0996_lute_suite_Em_arch/0996_02_allemande.ft3</v>
      </c>
      <c r="AA328" s="0" t="str">
        <f aca="false">HYPERLINK("http://lutemusic.org/composers/Bach/0996_lute_suite_Em_arch/pdf/0996_02_allemande.pdf")</f>
        <v>http://lutemusic.org/composers/Bach/0996_lute_suite_Em_arch/pdf/0996_02_allemande.pdf</v>
      </c>
      <c r="AB328" s="0" t="str">
        <f aca="false">HYPERLINK("http://lutemusic.org/composers/Bach/0996_lute_suite_Em_arch/midi/0996_02_allemande.mid")</f>
        <v>http://lutemusic.org/composers/Bach/0996_lute_suite_Em_arch/midi/0996_02_allemande.mid</v>
      </c>
      <c r="AC328" s="0" t="n">
        <v>1573937407</v>
      </c>
      <c r="AD328" s="0" t="n">
        <v>1586042062</v>
      </c>
    </row>
    <row r="329" customFormat="false" ht="12.8" hidden="false" customHeight="false" outlineLevel="0" collapsed="false">
      <c r="B329" s="0" t="s">
        <v>674</v>
      </c>
      <c r="C329" s="0" t="s">
        <v>622</v>
      </c>
      <c r="E329" s="0" t="s">
        <v>622</v>
      </c>
      <c r="F329" s="0" t="s">
        <v>682</v>
      </c>
      <c r="H329" s="0" t="n">
        <v>1708</v>
      </c>
      <c r="J329" s="0" t="s">
        <v>36</v>
      </c>
      <c r="K329" s="0" t="s">
        <v>670</v>
      </c>
      <c r="L329" s="0" t="s">
        <v>670</v>
      </c>
      <c r="M329" s="0" t="s">
        <v>670</v>
      </c>
      <c r="P329" s="0" t="s">
        <v>683</v>
      </c>
      <c r="Q329" s="0" t="s">
        <v>674</v>
      </c>
      <c r="R329" s="0" t="s">
        <v>283</v>
      </c>
      <c r="S329" s="0" t="s">
        <v>424</v>
      </c>
      <c r="T329" s="0" t="n">
        <v>5</v>
      </c>
      <c r="U329" s="0" t="s">
        <v>41</v>
      </c>
      <c r="Z329" s="0" t="str">
        <f aca="false">HYPERLINK("http://lutemusic.org/composers/Bach/0996_lute_suite_Em_arch/0996_03_courante.ft3")</f>
        <v>http://lutemusic.org/composers/Bach/0996_lute_suite_Em_arch/0996_03_courante.ft3</v>
      </c>
      <c r="AA329" s="0" t="str">
        <f aca="false">HYPERLINK("http://lutemusic.org/composers/Bach/0996_lute_suite_Em_arch/pdf/0996_03_courante.pdf")</f>
        <v>http://lutemusic.org/composers/Bach/0996_lute_suite_Em_arch/pdf/0996_03_courante.pdf</v>
      </c>
      <c r="AB329" s="0" t="str">
        <f aca="false">HYPERLINK("http://lutemusic.org/composers/Bach/0996_lute_suite_Em_arch/midi/0996_03_courante.mid")</f>
        <v>http://lutemusic.org/composers/Bach/0996_lute_suite_Em_arch/midi/0996_03_courante.mid</v>
      </c>
      <c r="AC329" s="0" t="n">
        <v>1573937407</v>
      </c>
      <c r="AD329" s="0" t="n">
        <v>1586042062</v>
      </c>
    </row>
    <row r="330" customFormat="false" ht="12.8" hidden="false" customHeight="false" outlineLevel="0" collapsed="false">
      <c r="B330" s="0" t="s">
        <v>660</v>
      </c>
      <c r="C330" s="0" t="s">
        <v>622</v>
      </c>
      <c r="E330" s="0" t="s">
        <v>622</v>
      </c>
      <c r="F330" s="0" t="s">
        <v>682</v>
      </c>
      <c r="H330" s="0" t="n">
        <v>1708</v>
      </c>
      <c r="J330" s="0" t="s">
        <v>36</v>
      </c>
      <c r="K330" s="0" t="s">
        <v>36</v>
      </c>
      <c r="L330" s="0" t="s">
        <v>670</v>
      </c>
      <c r="M330" s="0" t="s">
        <v>670</v>
      </c>
      <c r="P330" s="0" t="s">
        <v>683</v>
      </c>
      <c r="Q330" s="0" t="s">
        <v>660</v>
      </c>
      <c r="R330" s="0" t="s">
        <v>663</v>
      </c>
      <c r="S330" s="0" t="s">
        <v>424</v>
      </c>
      <c r="T330" s="0" t="n">
        <v>5</v>
      </c>
      <c r="U330" s="0" t="s">
        <v>41</v>
      </c>
      <c r="Z330" s="0" t="str">
        <f aca="false">HYPERLINK("http://lutemusic.org/composers/Bach/0996_lute_suite_Em_arch/0996_04_sarabande.ft3")</f>
        <v>http://lutemusic.org/composers/Bach/0996_lute_suite_Em_arch/0996_04_sarabande.ft3</v>
      </c>
      <c r="AA330" s="0" t="str">
        <f aca="false">HYPERLINK("http://lutemusic.org/composers/Bach/0996_lute_suite_Em_arch/pdf/0996_04_sarabande.pdf")</f>
        <v>http://lutemusic.org/composers/Bach/0996_lute_suite_Em_arch/pdf/0996_04_sarabande.pdf</v>
      </c>
      <c r="AB330" s="0" t="str">
        <f aca="false">HYPERLINK("http://lutemusic.org/composers/Bach/0996_lute_suite_Em_arch/midi/0996_04_sarabande.mid")</f>
        <v>http://lutemusic.org/composers/Bach/0996_lute_suite_Em_arch/midi/0996_04_sarabande.mid</v>
      </c>
      <c r="AC330" s="0" t="n">
        <v>1573937407</v>
      </c>
      <c r="AD330" s="0" t="n">
        <v>1586042062</v>
      </c>
    </row>
    <row r="331" customFormat="false" ht="12.8" hidden="false" customHeight="false" outlineLevel="0" collapsed="false">
      <c r="B331" s="0" t="s">
        <v>684</v>
      </c>
      <c r="C331" s="0" t="s">
        <v>622</v>
      </c>
      <c r="E331" s="0" t="s">
        <v>622</v>
      </c>
      <c r="F331" s="0" t="s">
        <v>682</v>
      </c>
      <c r="H331" s="0" t="n">
        <v>1708</v>
      </c>
      <c r="J331" s="0" t="s">
        <v>36</v>
      </c>
      <c r="K331" s="0" t="s">
        <v>670</v>
      </c>
      <c r="L331" s="0" t="s">
        <v>670</v>
      </c>
      <c r="M331" s="0" t="s">
        <v>670</v>
      </c>
      <c r="P331" s="0" t="s">
        <v>683</v>
      </c>
      <c r="Q331" s="0" t="s">
        <v>684</v>
      </c>
      <c r="R331" s="0" t="s">
        <v>685</v>
      </c>
      <c r="S331" s="0" t="s">
        <v>424</v>
      </c>
      <c r="T331" s="0" t="n">
        <v>5</v>
      </c>
      <c r="U331" s="0" t="s">
        <v>41</v>
      </c>
      <c r="Z331" s="0" t="str">
        <f aca="false">HYPERLINK("http://lutemusic.org/composers/Bach/0996_lute_suite_Em_arch/0996_05a_bouree.ft3")</f>
        <v>http://lutemusic.org/composers/Bach/0996_lute_suite_Em_arch/0996_05a_bouree.ft3</v>
      </c>
      <c r="AA331" s="0" t="str">
        <f aca="false">HYPERLINK("http://lutemusic.org/composers/Bach/0996_lute_suite_Em_arch/pdf/0996_05a_bouree.pdf")</f>
        <v>http://lutemusic.org/composers/Bach/0996_lute_suite_Em_arch/pdf/0996_05a_bouree.pdf</v>
      </c>
      <c r="AB331" s="0" t="str">
        <f aca="false">HYPERLINK("http://lutemusic.org/composers/Bach/0996_lute_suite_Em_arch/midi/0996_05a_bouree.mid")</f>
        <v>http://lutemusic.org/composers/Bach/0996_lute_suite_Em_arch/midi/0996_05a_bouree.mid</v>
      </c>
      <c r="AC331" s="0" t="n">
        <v>1573937407</v>
      </c>
      <c r="AD331" s="0" t="n">
        <v>1586042062</v>
      </c>
    </row>
    <row r="332" customFormat="false" ht="12.8" hidden="false" customHeight="false" outlineLevel="0" collapsed="false">
      <c r="B332" s="0" t="s">
        <v>684</v>
      </c>
      <c r="C332" s="0" t="s">
        <v>622</v>
      </c>
      <c r="E332" s="0" t="s">
        <v>622</v>
      </c>
      <c r="F332" s="0" t="s">
        <v>682</v>
      </c>
      <c r="H332" s="0" t="n">
        <v>1708</v>
      </c>
      <c r="J332" s="0" t="s">
        <v>36</v>
      </c>
      <c r="K332" s="0" t="s">
        <v>670</v>
      </c>
      <c r="L332" s="0" t="s">
        <v>670</v>
      </c>
      <c r="M332" s="0" t="s">
        <v>670</v>
      </c>
      <c r="P332" s="0" t="s">
        <v>683</v>
      </c>
      <c r="Q332" s="0" t="s">
        <v>684</v>
      </c>
      <c r="R332" s="0" t="s">
        <v>685</v>
      </c>
      <c r="S332" s="0" t="s">
        <v>424</v>
      </c>
      <c r="T332" s="0" t="n">
        <v>3</v>
      </c>
      <c r="U332" s="0" t="s">
        <v>41</v>
      </c>
      <c r="Z332" s="0" t="str">
        <f aca="false">HYPERLINK("http://lutemusic.org/composers/Bach/0996_lute_suite_Em_arch/0996_05_bouree.ft3")</f>
        <v>http://lutemusic.org/composers/Bach/0996_lute_suite_Em_arch/0996_05_bouree.ft3</v>
      </c>
      <c r="AA332" s="0" t="str">
        <f aca="false">HYPERLINK("http://lutemusic.org/composers/Bach/0996_lute_suite_Em_arch/pdf/0996_05_bouree.pdf")</f>
        <v>http://lutemusic.org/composers/Bach/0996_lute_suite_Em_arch/pdf/0996_05_bouree.pdf</v>
      </c>
      <c r="AB332" s="0" t="str">
        <f aca="false">HYPERLINK("http://lutemusic.org/composers/Bach/0996_lute_suite_Em_arch/midi/0996_05_bouree.mid")</f>
        <v>http://lutemusic.org/composers/Bach/0996_lute_suite_Em_arch/midi/0996_05_bouree.mid</v>
      </c>
      <c r="AC332" s="0" t="n">
        <v>1573937407</v>
      </c>
      <c r="AD332" s="0" t="n">
        <v>1586042062</v>
      </c>
    </row>
    <row r="333" customFormat="false" ht="12.8" hidden="false" customHeight="false" outlineLevel="0" collapsed="false">
      <c r="B333" s="0" t="s">
        <v>686</v>
      </c>
      <c r="C333" s="0" t="s">
        <v>622</v>
      </c>
      <c r="E333" s="0" t="s">
        <v>622</v>
      </c>
      <c r="F333" s="0" t="s">
        <v>682</v>
      </c>
      <c r="H333" s="0" t="n">
        <v>1708</v>
      </c>
      <c r="J333" s="0" t="s">
        <v>36</v>
      </c>
      <c r="K333" s="0" t="s">
        <v>670</v>
      </c>
      <c r="L333" s="0" t="s">
        <v>670</v>
      </c>
      <c r="M333" s="0" t="s">
        <v>670</v>
      </c>
      <c r="P333" s="0" t="s">
        <v>683</v>
      </c>
      <c r="Q333" s="0" t="s">
        <v>686</v>
      </c>
      <c r="R333" s="0" t="s">
        <v>678</v>
      </c>
      <c r="S333" s="0" t="s">
        <v>424</v>
      </c>
      <c r="T333" s="0" t="n">
        <v>5</v>
      </c>
      <c r="U333" s="0" t="s">
        <v>41</v>
      </c>
      <c r="Z333" s="0" t="str">
        <f aca="false">HYPERLINK("http://lutemusic.org/composers/Bach/0996_lute_suite_Em_arch/0996_06_gigue_.ft3")</f>
        <v>http://lutemusic.org/composers/Bach/0996_lute_suite_Em_arch/0996_06_gigue_.ft3</v>
      </c>
      <c r="AA333" s="0" t="str">
        <f aca="false">HYPERLINK("http://lutemusic.org/composers/Bach/0996_lute_suite_Em_arch/pdf/0996_06_gigue_.pdf")</f>
        <v>http://lutemusic.org/composers/Bach/0996_lute_suite_Em_arch/pdf/0996_06_gigue_.pdf</v>
      </c>
      <c r="AB333" s="0" t="str">
        <f aca="false">HYPERLINK("http://lutemusic.org/composers/Bach/0996_lute_suite_Em_arch/midi/0996_06_gigue_.mid")</f>
        <v>http://lutemusic.org/composers/Bach/0996_lute_suite_Em_arch/midi/0996_06_gigue_.mid</v>
      </c>
      <c r="AC333" s="0" t="n">
        <v>1573937407</v>
      </c>
      <c r="AD333" s="0" t="n">
        <v>1586042062</v>
      </c>
    </row>
    <row r="334" customFormat="false" ht="12.8" hidden="false" customHeight="false" outlineLevel="0" collapsed="false">
      <c r="A334" s="0" t="s">
        <v>687</v>
      </c>
      <c r="B334" s="0" t="s">
        <v>668</v>
      </c>
      <c r="C334" s="0" t="s">
        <v>622</v>
      </c>
      <c r="E334" s="0" t="s">
        <v>622</v>
      </c>
      <c r="F334" s="0" t="s">
        <v>688</v>
      </c>
      <c r="H334" s="0" t="n">
        <v>1740</v>
      </c>
      <c r="J334" s="0" t="s">
        <v>36</v>
      </c>
      <c r="K334" s="0" t="s">
        <v>689</v>
      </c>
      <c r="P334" s="0" t="s">
        <v>690</v>
      </c>
      <c r="Q334" s="0" t="s">
        <v>668</v>
      </c>
      <c r="R334" s="0" t="s">
        <v>672</v>
      </c>
      <c r="S334" s="0" t="s">
        <v>66</v>
      </c>
      <c r="T334" s="0" t="n">
        <v>5</v>
      </c>
      <c r="U334" s="0" t="s">
        <v>644</v>
      </c>
      <c r="Z334" s="0" t="str">
        <f aca="false">HYPERLINK("http://lutemusic.org/composers/Bach/0997_lute_suite_Cm_arch/0997_01_prelude.ft3")</f>
        <v>http://lutemusic.org/composers/Bach/0997_lute_suite_Cm_arch/0997_01_prelude.ft3</v>
      </c>
      <c r="AA334" s="0" t="str">
        <f aca="false">HYPERLINK("http://lutemusic.org/composers/Bach/0997_lute_suite_Cm_arch/pdf/0997_01_prelude.pdf")</f>
        <v>http://lutemusic.org/composers/Bach/0997_lute_suite_Cm_arch/pdf/0997_01_prelude.pdf</v>
      </c>
      <c r="AB334" s="0" t="str">
        <f aca="false">HYPERLINK("http://lutemusic.org/composers/Bach/0997_lute_suite_Cm_arch/midi/0997_01_prelude.mid")</f>
        <v>http://lutemusic.org/composers/Bach/0997_lute_suite_Cm_arch/midi/0997_01_prelude.mid</v>
      </c>
      <c r="AC334" s="0" t="n">
        <v>1573937407</v>
      </c>
      <c r="AD334" s="0" t="n">
        <v>1586042062</v>
      </c>
    </row>
    <row r="335" customFormat="false" ht="12.8" hidden="false" customHeight="false" outlineLevel="0" collapsed="false">
      <c r="B335" s="0" t="s">
        <v>691</v>
      </c>
      <c r="C335" s="0" t="s">
        <v>622</v>
      </c>
      <c r="E335" s="0" t="s">
        <v>622</v>
      </c>
      <c r="F335" s="0" t="s">
        <v>688</v>
      </c>
      <c r="H335" s="0" t="n">
        <v>1740</v>
      </c>
      <c r="J335" s="0" t="s">
        <v>36</v>
      </c>
      <c r="K335" s="0" t="s">
        <v>689</v>
      </c>
      <c r="P335" s="0" t="s">
        <v>687</v>
      </c>
      <c r="Q335" s="0" t="s">
        <v>691</v>
      </c>
      <c r="R335" s="0" t="s">
        <v>692</v>
      </c>
      <c r="S335" s="0" t="s">
        <v>66</v>
      </c>
      <c r="T335" s="0" t="n">
        <v>5</v>
      </c>
      <c r="U335" s="0" t="s">
        <v>644</v>
      </c>
      <c r="Z335" s="0" t="str">
        <f aca="false">HYPERLINK("http://lutemusic.org/composers/Bach/0997_lute_suite_Cm_arch/0997_02_fuga.ft3")</f>
        <v>http://lutemusic.org/composers/Bach/0997_lute_suite_Cm_arch/0997_02_fuga.ft3</v>
      </c>
      <c r="AA335" s="0" t="str">
        <f aca="false">HYPERLINK("http://lutemusic.org/composers/Bach/0997_lute_suite_Cm_arch/pdf/0997_02_fuga.pdf")</f>
        <v>http://lutemusic.org/composers/Bach/0997_lute_suite_Cm_arch/pdf/0997_02_fuga.pdf</v>
      </c>
      <c r="AB335" s="0" t="str">
        <f aca="false">HYPERLINK("http://lutemusic.org/composers/Bach/0997_lute_suite_Cm_arch/midi/0997_02_fuga.mid")</f>
        <v>http://lutemusic.org/composers/Bach/0997_lute_suite_Cm_arch/midi/0997_02_fuga.mid</v>
      </c>
      <c r="AC335" s="0" t="n">
        <v>1573937407</v>
      </c>
      <c r="AD335" s="0" t="n">
        <v>1586042062</v>
      </c>
    </row>
    <row r="336" customFormat="false" ht="12.8" hidden="false" customHeight="false" outlineLevel="0" collapsed="false">
      <c r="B336" s="0" t="s">
        <v>693</v>
      </c>
      <c r="C336" s="0" t="s">
        <v>622</v>
      </c>
      <c r="E336" s="0" t="s">
        <v>622</v>
      </c>
      <c r="F336" s="0" t="s">
        <v>688</v>
      </c>
      <c r="H336" s="0" t="n">
        <v>1740</v>
      </c>
      <c r="J336" s="0" t="s">
        <v>36</v>
      </c>
      <c r="K336" s="0" t="s">
        <v>689</v>
      </c>
      <c r="P336" s="0" t="s">
        <v>687</v>
      </c>
      <c r="Q336" s="0" t="s">
        <v>693</v>
      </c>
      <c r="R336" s="0" t="s">
        <v>663</v>
      </c>
      <c r="S336" s="0" t="s">
        <v>66</v>
      </c>
      <c r="T336" s="0" t="n">
        <v>5</v>
      </c>
      <c r="U336" s="0" t="s">
        <v>644</v>
      </c>
      <c r="Z336" s="0" t="str">
        <f aca="false">HYPERLINK("http://lutemusic.org/composers/Bach/0997_lute_suite_Cm_arch/0997_03_sarabande.ft3")</f>
        <v>http://lutemusic.org/composers/Bach/0997_lute_suite_Cm_arch/0997_03_sarabande.ft3</v>
      </c>
      <c r="AA336" s="0" t="str">
        <f aca="false">HYPERLINK("http://lutemusic.org/composers/Bach/0997_lute_suite_Cm_arch/pdf/0997_03_sarabande.pdf")</f>
        <v>http://lutemusic.org/composers/Bach/0997_lute_suite_Cm_arch/pdf/0997_03_sarabande.pdf</v>
      </c>
      <c r="AB336" s="0" t="str">
        <f aca="false">HYPERLINK("http://lutemusic.org/composers/Bach/0997_lute_suite_Cm_arch/midi/0997_03_sarabande.mid")</f>
        <v>http://lutemusic.org/composers/Bach/0997_lute_suite_Cm_arch/midi/0997_03_sarabande.mid</v>
      </c>
      <c r="AC336" s="0" t="n">
        <v>1573937407</v>
      </c>
      <c r="AD336" s="0" t="n">
        <v>1586042062</v>
      </c>
    </row>
    <row r="337" customFormat="false" ht="12.8" hidden="false" customHeight="false" outlineLevel="0" collapsed="false">
      <c r="B337" s="0" t="s">
        <v>694</v>
      </c>
      <c r="C337" s="0" t="s">
        <v>622</v>
      </c>
      <c r="E337" s="0" t="s">
        <v>622</v>
      </c>
      <c r="F337" s="0" t="s">
        <v>688</v>
      </c>
      <c r="H337" s="0" t="n">
        <v>1740</v>
      </c>
      <c r="J337" s="0" t="s">
        <v>36</v>
      </c>
      <c r="K337" s="0" t="s">
        <v>689</v>
      </c>
      <c r="P337" s="0" t="s">
        <v>687</v>
      </c>
      <c r="Q337" s="0" t="s">
        <v>694</v>
      </c>
      <c r="R337" s="0" t="s">
        <v>678</v>
      </c>
      <c r="S337" s="0" t="s">
        <v>66</v>
      </c>
      <c r="T337" s="0" t="n">
        <v>5</v>
      </c>
      <c r="U337" s="0" t="s">
        <v>644</v>
      </c>
      <c r="Z337" s="0" t="str">
        <f aca="false">HYPERLINK("http://lutemusic.org/composers/Bach/0997_lute_suite_Cm_arch/0997_04_gigue.ft3")</f>
        <v>http://lutemusic.org/composers/Bach/0997_lute_suite_Cm_arch/0997_04_gigue.ft3</v>
      </c>
      <c r="AA337" s="0" t="str">
        <f aca="false">HYPERLINK("http://lutemusic.org/composers/Bach/0997_lute_suite_Cm_arch/pdf/0997_04_gigue.pdf")</f>
        <v>http://lutemusic.org/composers/Bach/0997_lute_suite_Cm_arch/pdf/0997_04_gigue.pdf</v>
      </c>
      <c r="AB337" s="0" t="str">
        <f aca="false">HYPERLINK("http://lutemusic.org/composers/Bach/0997_lute_suite_Cm_arch/midi/0997_04_gigue.mid")</f>
        <v>http://lutemusic.org/composers/Bach/0997_lute_suite_Cm_arch/midi/0997_04_gigue.mid</v>
      </c>
      <c r="AC337" s="0" t="n">
        <v>1573937407</v>
      </c>
      <c r="AD337" s="0" t="n">
        <v>1586042062</v>
      </c>
    </row>
    <row r="338" customFormat="false" ht="12.8" hidden="false" customHeight="false" outlineLevel="0" collapsed="false">
      <c r="B338" s="0" t="s">
        <v>695</v>
      </c>
      <c r="C338" s="0" t="s">
        <v>622</v>
      </c>
      <c r="E338" s="0" t="s">
        <v>622</v>
      </c>
      <c r="F338" s="0" t="s">
        <v>688</v>
      </c>
      <c r="H338" s="0" t="n">
        <v>1740</v>
      </c>
      <c r="J338" s="0" t="s">
        <v>36</v>
      </c>
      <c r="K338" s="0" t="s">
        <v>689</v>
      </c>
      <c r="P338" s="0" t="s">
        <v>687</v>
      </c>
      <c r="Q338" s="0" t="s">
        <v>695</v>
      </c>
      <c r="R338" s="0" t="s">
        <v>696</v>
      </c>
      <c r="S338" s="0" t="s">
        <v>66</v>
      </c>
      <c r="T338" s="0" t="n">
        <v>5</v>
      </c>
      <c r="U338" s="0" t="s">
        <v>644</v>
      </c>
      <c r="Z338" s="0" t="str">
        <f aca="false">HYPERLINK("http://lutemusic.org/composers/Bach/0997_lute_suite_Cm_arch/0997_05_double.ft3")</f>
        <v>http://lutemusic.org/composers/Bach/0997_lute_suite_Cm_arch/0997_05_double.ft3</v>
      </c>
      <c r="AA338" s="0" t="str">
        <f aca="false">HYPERLINK("http://lutemusic.org/composers/Bach/0997_lute_suite_Cm_arch/pdf/0997_05_double.pdf")</f>
        <v>http://lutemusic.org/composers/Bach/0997_lute_suite_Cm_arch/pdf/0997_05_double.pdf</v>
      </c>
      <c r="AB338" s="0" t="str">
        <f aca="false">HYPERLINK("http://lutemusic.org/composers/Bach/0997_lute_suite_Cm_arch/midi/0997_05_double.mid")</f>
        <v>http://lutemusic.org/composers/Bach/0997_lute_suite_Cm_arch/midi/0997_05_double.mid</v>
      </c>
      <c r="AC338" s="0" t="n">
        <v>1573937407</v>
      </c>
      <c r="AD338" s="0" t="n">
        <v>1586042062</v>
      </c>
    </row>
    <row r="339" customFormat="false" ht="12.8" hidden="false" customHeight="false" outlineLevel="0" collapsed="false">
      <c r="A339" s="0" t="s">
        <v>687</v>
      </c>
      <c r="B339" s="0" t="s">
        <v>668</v>
      </c>
      <c r="C339" s="0" t="s">
        <v>622</v>
      </c>
      <c r="E339" s="0" t="s">
        <v>622</v>
      </c>
      <c r="F339" s="0" t="s">
        <v>688</v>
      </c>
      <c r="H339" s="0" t="n">
        <v>1740</v>
      </c>
      <c r="J339" s="0" t="s">
        <v>36</v>
      </c>
      <c r="K339" s="0" t="s">
        <v>689</v>
      </c>
      <c r="P339" s="0" t="s">
        <v>690</v>
      </c>
      <c r="Q339" s="0" t="s">
        <v>668</v>
      </c>
      <c r="R339" s="0" t="s">
        <v>672</v>
      </c>
      <c r="S339" s="0" t="s">
        <v>66</v>
      </c>
      <c r="T339" s="0" t="n">
        <v>5</v>
      </c>
      <c r="U339" s="0" t="s">
        <v>644</v>
      </c>
      <c r="Z339" s="0" t="str">
        <f aca="false">HYPERLINK("http://lutemusic.org/composers/Bach/0997_lute_suite_Cm_bar/0997_01_prelude.ft3")</f>
        <v>http://lutemusic.org/composers/Bach/0997_lute_suite_Cm_bar/0997_01_prelude.ft3</v>
      </c>
      <c r="AA339" s="0" t="str">
        <f aca="false">HYPERLINK("http://lutemusic.org/composers/Bach/0997_lute_suite_Cm_bar/pdf/0997_01_prelude.pdf")</f>
        <v>http://lutemusic.org/composers/Bach/0997_lute_suite_Cm_bar/pdf/0997_01_prelude.pdf</v>
      </c>
      <c r="AB339" s="0" t="str">
        <f aca="false">HYPERLINK("http://lutemusic.org/composers/Bach/0997_lute_suite_Cm_bar/midi/0997_01_prelude.mid")</f>
        <v>http://lutemusic.org/composers/Bach/0997_lute_suite_Cm_bar/midi/0997_01_prelude.mid</v>
      </c>
      <c r="AC339" s="0" t="n">
        <v>1573937407</v>
      </c>
      <c r="AD339" s="0" t="n">
        <v>1586042062</v>
      </c>
    </row>
    <row r="340" customFormat="false" ht="12.8" hidden="false" customHeight="false" outlineLevel="0" collapsed="false">
      <c r="B340" s="0" t="s">
        <v>691</v>
      </c>
      <c r="C340" s="0" t="s">
        <v>622</v>
      </c>
      <c r="E340" s="0" t="s">
        <v>622</v>
      </c>
      <c r="F340" s="0" t="s">
        <v>688</v>
      </c>
      <c r="H340" s="0" t="n">
        <v>1740</v>
      </c>
      <c r="J340" s="0" t="s">
        <v>36</v>
      </c>
      <c r="K340" s="0" t="s">
        <v>689</v>
      </c>
      <c r="P340" s="0" t="s">
        <v>687</v>
      </c>
      <c r="Q340" s="0" t="s">
        <v>691</v>
      </c>
      <c r="R340" s="0" t="s">
        <v>692</v>
      </c>
      <c r="S340" s="0" t="s">
        <v>66</v>
      </c>
      <c r="T340" s="0" t="n">
        <v>5</v>
      </c>
      <c r="U340" s="0" t="s">
        <v>644</v>
      </c>
      <c r="Z340" s="0" t="str">
        <f aca="false">HYPERLINK("http://lutemusic.org/composers/Bach/0997_lute_suite_Cm_bar/0997_02_fuga.ft3")</f>
        <v>http://lutemusic.org/composers/Bach/0997_lute_suite_Cm_bar/0997_02_fuga.ft3</v>
      </c>
      <c r="AA340" s="0" t="str">
        <f aca="false">HYPERLINK("http://lutemusic.org/composers/Bach/0997_lute_suite_Cm_bar/pdf/0997_02_fuga.pdf")</f>
        <v>http://lutemusic.org/composers/Bach/0997_lute_suite_Cm_bar/pdf/0997_02_fuga.pdf</v>
      </c>
      <c r="AB340" s="0" t="str">
        <f aca="false">HYPERLINK("http://lutemusic.org/composers/Bach/0997_lute_suite_Cm_bar/midi/0997_02_fuga.mid")</f>
        <v>http://lutemusic.org/composers/Bach/0997_lute_suite_Cm_bar/midi/0997_02_fuga.mid</v>
      </c>
      <c r="AC340" s="0" t="n">
        <v>1573937407</v>
      </c>
      <c r="AD340" s="0" t="n">
        <v>1586042062</v>
      </c>
    </row>
    <row r="341" customFormat="false" ht="12.8" hidden="false" customHeight="false" outlineLevel="0" collapsed="false">
      <c r="B341" s="0" t="s">
        <v>693</v>
      </c>
      <c r="C341" s="0" t="s">
        <v>622</v>
      </c>
      <c r="E341" s="0" t="s">
        <v>622</v>
      </c>
      <c r="F341" s="0" t="s">
        <v>688</v>
      </c>
      <c r="H341" s="0" t="n">
        <v>1740</v>
      </c>
      <c r="J341" s="0" t="s">
        <v>36</v>
      </c>
      <c r="K341" s="0" t="s">
        <v>689</v>
      </c>
      <c r="P341" s="0" t="s">
        <v>687</v>
      </c>
      <c r="Q341" s="0" t="s">
        <v>693</v>
      </c>
      <c r="R341" s="0" t="s">
        <v>663</v>
      </c>
      <c r="S341" s="0" t="s">
        <v>66</v>
      </c>
      <c r="T341" s="0" t="n">
        <v>5</v>
      </c>
      <c r="U341" s="0" t="s">
        <v>644</v>
      </c>
      <c r="Z341" s="0" t="str">
        <f aca="false">HYPERLINK("http://lutemusic.org/composers/Bach/0997_lute_suite_Cm_bar/0997_03_sarabande.ft3")</f>
        <v>http://lutemusic.org/composers/Bach/0997_lute_suite_Cm_bar/0997_03_sarabande.ft3</v>
      </c>
      <c r="AA341" s="0" t="str">
        <f aca="false">HYPERLINK("http://lutemusic.org/composers/Bach/0997_lute_suite_Cm_bar/pdf/0997_03_sarabande.pdf")</f>
        <v>http://lutemusic.org/composers/Bach/0997_lute_suite_Cm_bar/pdf/0997_03_sarabande.pdf</v>
      </c>
      <c r="AB341" s="0" t="str">
        <f aca="false">HYPERLINK("http://lutemusic.org/composers/Bach/0997_lute_suite_Cm_bar/midi/0997_03_sarabande.mid")</f>
        <v>http://lutemusic.org/composers/Bach/0997_lute_suite_Cm_bar/midi/0997_03_sarabande.mid</v>
      </c>
      <c r="AC341" s="0" t="n">
        <v>1573937407</v>
      </c>
      <c r="AD341" s="0" t="n">
        <v>1586042062</v>
      </c>
    </row>
    <row r="342" customFormat="false" ht="12.8" hidden="false" customHeight="false" outlineLevel="0" collapsed="false">
      <c r="B342" s="0" t="s">
        <v>694</v>
      </c>
      <c r="C342" s="0" t="s">
        <v>622</v>
      </c>
      <c r="E342" s="0" t="s">
        <v>622</v>
      </c>
      <c r="F342" s="0" t="s">
        <v>688</v>
      </c>
      <c r="H342" s="0" t="n">
        <v>1740</v>
      </c>
      <c r="J342" s="0" t="s">
        <v>36</v>
      </c>
      <c r="K342" s="0" t="s">
        <v>689</v>
      </c>
      <c r="P342" s="0" t="s">
        <v>687</v>
      </c>
      <c r="Q342" s="0" t="s">
        <v>694</v>
      </c>
      <c r="R342" s="0" t="s">
        <v>678</v>
      </c>
      <c r="S342" s="0" t="s">
        <v>66</v>
      </c>
      <c r="T342" s="0" t="n">
        <v>5</v>
      </c>
      <c r="U342" s="0" t="s">
        <v>644</v>
      </c>
      <c r="Z342" s="0" t="str">
        <f aca="false">HYPERLINK("http://lutemusic.org/composers/Bach/0997_lute_suite_Cm_bar/0997_04_gigue.ft3")</f>
        <v>http://lutemusic.org/composers/Bach/0997_lute_suite_Cm_bar/0997_04_gigue.ft3</v>
      </c>
      <c r="AA342" s="0" t="str">
        <f aca="false">HYPERLINK("http://lutemusic.org/composers/Bach/0997_lute_suite_Cm_bar/pdf/0997_04_gigue.pdf")</f>
        <v>http://lutemusic.org/composers/Bach/0997_lute_suite_Cm_bar/pdf/0997_04_gigue.pdf</v>
      </c>
      <c r="AB342" s="0" t="str">
        <f aca="false">HYPERLINK("http://lutemusic.org/composers/Bach/0997_lute_suite_Cm_bar/midi/0997_04_gigue.mid")</f>
        <v>http://lutemusic.org/composers/Bach/0997_lute_suite_Cm_bar/midi/0997_04_gigue.mid</v>
      </c>
      <c r="AC342" s="0" t="n">
        <v>1573937407</v>
      </c>
      <c r="AD342" s="0" t="n">
        <v>1586042062</v>
      </c>
    </row>
    <row r="343" customFormat="false" ht="12.8" hidden="false" customHeight="false" outlineLevel="0" collapsed="false">
      <c r="B343" s="0" t="s">
        <v>695</v>
      </c>
      <c r="C343" s="0" t="s">
        <v>622</v>
      </c>
      <c r="E343" s="0" t="s">
        <v>622</v>
      </c>
      <c r="F343" s="0" t="s">
        <v>688</v>
      </c>
      <c r="H343" s="0" t="n">
        <v>1740</v>
      </c>
      <c r="J343" s="0" t="s">
        <v>36</v>
      </c>
      <c r="K343" s="0" t="s">
        <v>689</v>
      </c>
      <c r="P343" s="0" t="s">
        <v>687</v>
      </c>
      <c r="Q343" s="0" t="s">
        <v>695</v>
      </c>
      <c r="R343" s="0" t="s">
        <v>696</v>
      </c>
      <c r="S343" s="0" t="s">
        <v>66</v>
      </c>
      <c r="T343" s="0" t="n">
        <v>5</v>
      </c>
      <c r="U343" s="0" t="s">
        <v>644</v>
      </c>
      <c r="Z343" s="0" t="str">
        <f aca="false">HYPERLINK("http://lutemusic.org/composers/Bach/0997_lute_suite_Cm_bar/0997_05_double.ft3")</f>
        <v>http://lutemusic.org/composers/Bach/0997_lute_suite_Cm_bar/0997_05_double.ft3</v>
      </c>
      <c r="AA343" s="0" t="str">
        <f aca="false">HYPERLINK("http://lutemusic.org/composers/Bach/0997_lute_suite_Cm_bar/pdf/0997_05_double.pdf")</f>
        <v>http://lutemusic.org/composers/Bach/0997_lute_suite_Cm_bar/pdf/0997_05_double.pdf</v>
      </c>
      <c r="AB343" s="0" t="str">
        <f aca="false">HYPERLINK("http://lutemusic.org/composers/Bach/0997_lute_suite_Cm_bar/midi/0997_05_double.mid")</f>
        <v>http://lutemusic.org/composers/Bach/0997_lute_suite_Cm_bar/midi/0997_05_double.mid</v>
      </c>
      <c r="AC343" s="0" t="n">
        <v>1573937407</v>
      </c>
      <c r="AD343" s="0" t="n">
        <v>1586042062</v>
      </c>
    </row>
    <row r="344" customFormat="false" ht="12.8" hidden="false" customHeight="false" outlineLevel="0" collapsed="false">
      <c r="A344" s="0" t="s">
        <v>697</v>
      </c>
      <c r="B344" s="0" t="s">
        <v>668</v>
      </c>
      <c r="C344" s="0" t="s">
        <v>622</v>
      </c>
      <c r="E344" s="0" t="s">
        <v>622</v>
      </c>
      <c r="F344" s="0" t="s">
        <v>698</v>
      </c>
      <c r="H344" s="0" t="n">
        <v>1740</v>
      </c>
      <c r="J344" s="0" t="s">
        <v>36</v>
      </c>
      <c r="K344" s="0" t="s">
        <v>670</v>
      </c>
      <c r="M344" s="0" t="s">
        <v>670</v>
      </c>
      <c r="P344" s="0" t="s">
        <v>699</v>
      </c>
      <c r="Q344" s="0" t="s">
        <v>668</v>
      </c>
      <c r="R344" s="0" t="s">
        <v>672</v>
      </c>
      <c r="S344" s="0" t="s">
        <v>338</v>
      </c>
      <c r="T344" s="0" t="n">
        <v>5</v>
      </c>
      <c r="U344" s="0" t="s">
        <v>644</v>
      </c>
      <c r="Z344" s="0" t="str">
        <f aca="false">HYPERLINK("http://lutemusic.org/composers/Bach/0998_prelude_fugue_and_allegro_EbM_bar/0998_01_prelude.ft3")</f>
        <v>http://lutemusic.org/composers/Bach/0998_prelude_fugue_and_allegro_EbM_bar/0998_01_prelude.ft3</v>
      </c>
      <c r="AA344" s="0" t="str">
        <f aca="false">HYPERLINK("http://lutemusic.org/composers/Bach/0998_prelude_fugue_and_allegro_EbM_bar/pdf/0998_01_prelude.pdf")</f>
        <v>http://lutemusic.org/composers/Bach/0998_prelude_fugue_and_allegro_EbM_bar/pdf/0998_01_prelude.pdf</v>
      </c>
      <c r="AB344" s="0" t="str">
        <f aca="false">HYPERLINK("http://lutemusic.org/composers/Bach/0998_prelude_fugue_and_allegro_EbM_bar/midi/0998_01_prelude.mid")</f>
        <v>http://lutemusic.org/composers/Bach/0998_prelude_fugue_and_allegro_EbM_bar/midi/0998_01_prelude.mid</v>
      </c>
      <c r="AC344" s="0" t="n">
        <v>1573937407</v>
      </c>
      <c r="AD344" s="0" t="n">
        <v>1586042062</v>
      </c>
    </row>
    <row r="345" customFormat="false" ht="12.8" hidden="false" customHeight="false" outlineLevel="0" collapsed="false">
      <c r="B345" s="0" t="s">
        <v>700</v>
      </c>
      <c r="C345" s="0" t="s">
        <v>622</v>
      </c>
      <c r="E345" s="0" t="s">
        <v>622</v>
      </c>
      <c r="F345" s="0" t="s">
        <v>698</v>
      </c>
      <c r="H345" s="0" t="n">
        <v>1740</v>
      </c>
      <c r="J345" s="0" t="s">
        <v>36</v>
      </c>
      <c r="K345" s="0" t="s">
        <v>670</v>
      </c>
      <c r="M345" s="0" t="s">
        <v>670</v>
      </c>
      <c r="P345" s="0" t="s">
        <v>699</v>
      </c>
      <c r="Q345" s="0" t="s">
        <v>700</v>
      </c>
      <c r="R345" s="0" t="s">
        <v>692</v>
      </c>
      <c r="S345" s="0" t="s">
        <v>338</v>
      </c>
      <c r="T345" s="0" t="n">
        <v>5</v>
      </c>
      <c r="U345" s="0" t="s">
        <v>644</v>
      </c>
      <c r="Z345" s="0" t="str">
        <f aca="false">HYPERLINK("http://lutemusic.org/composers/Bach/0998_prelude_fugue_and_allegro_EbM_bar/0998_02_fuga.ft3")</f>
        <v>http://lutemusic.org/composers/Bach/0998_prelude_fugue_and_allegro_EbM_bar/0998_02_fuga.ft3</v>
      </c>
      <c r="AA345" s="0" t="str">
        <f aca="false">HYPERLINK("http://lutemusic.org/composers/Bach/0998_prelude_fugue_and_allegro_EbM_bar/pdf/0998_02_fuga.pdf")</f>
        <v>http://lutemusic.org/composers/Bach/0998_prelude_fugue_and_allegro_EbM_bar/pdf/0998_02_fuga.pdf</v>
      </c>
      <c r="AB345" s="0" t="str">
        <f aca="false">HYPERLINK("http://lutemusic.org/composers/Bach/0998_prelude_fugue_and_allegro_EbM_bar/midi/0998_02_fuga.mid")</f>
        <v>http://lutemusic.org/composers/Bach/0998_prelude_fugue_and_allegro_EbM_bar/midi/0998_02_fuga.mid</v>
      </c>
      <c r="AC345" s="0" t="n">
        <v>1573937407</v>
      </c>
      <c r="AD345" s="0" t="n">
        <v>1586042062</v>
      </c>
    </row>
    <row r="346" customFormat="false" ht="12.8" hidden="false" customHeight="false" outlineLevel="0" collapsed="false">
      <c r="B346" s="0" t="s">
        <v>701</v>
      </c>
      <c r="C346" s="0" t="s">
        <v>622</v>
      </c>
      <c r="E346" s="0" t="s">
        <v>622</v>
      </c>
      <c r="F346" s="0" t="s">
        <v>698</v>
      </c>
      <c r="H346" s="0" t="n">
        <v>1740</v>
      </c>
      <c r="J346" s="0" t="s">
        <v>36</v>
      </c>
      <c r="K346" s="0" t="s">
        <v>670</v>
      </c>
      <c r="M346" s="0" t="s">
        <v>670</v>
      </c>
      <c r="P346" s="0" t="s">
        <v>699</v>
      </c>
      <c r="Q346" s="0" t="s">
        <v>701</v>
      </c>
      <c r="R346" s="0" t="s">
        <v>702</v>
      </c>
      <c r="S346" s="0" t="s">
        <v>338</v>
      </c>
      <c r="T346" s="0" t="n">
        <v>5</v>
      </c>
      <c r="U346" s="0" t="s">
        <v>644</v>
      </c>
      <c r="Z346" s="0" t="str">
        <f aca="false">HYPERLINK("http://lutemusic.org/composers/Bach/0998_prelude_fugue_and_allegro_EbM_bar/0998_03_allegro.ft3")</f>
        <v>http://lutemusic.org/composers/Bach/0998_prelude_fugue_and_allegro_EbM_bar/0998_03_allegro.ft3</v>
      </c>
      <c r="AA346" s="0" t="str">
        <f aca="false">HYPERLINK("http://lutemusic.org/composers/Bach/0998_prelude_fugue_and_allegro_EbM_bar/pdf/0998_03_allegro.pdf")</f>
        <v>http://lutemusic.org/composers/Bach/0998_prelude_fugue_and_allegro_EbM_bar/pdf/0998_03_allegro.pdf</v>
      </c>
      <c r="AB346" s="0" t="str">
        <f aca="false">HYPERLINK("http://lutemusic.org/composers/Bach/0998_prelude_fugue_and_allegro_EbM_bar/midi/0998_03_allegro.mid")</f>
        <v>http://lutemusic.org/composers/Bach/0998_prelude_fugue_and_allegro_EbM_bar/midi/0998_03_allegro.mid</v>
      </c>
      <c r="AC346" s="0" t="n">
        <v>1573937407</v>
      </c>
      <c r="AD346" s="0" t="n">
        <v>1586042062</v>
      </c>
    </row>
    <row r="347" customFormat="false" ht="12.8" hidden="false" customHeight="false" outlineLevel="0" collapsed="false">
      <c r="A347" s="0" t="s">
        <v>703</v>
      </c>
      <c r="C347" s="0" t="s">
        <v>622</v>
      </c>
      <c r="E347" s="0" t="s">
        <v>622</v>
      </c>
      <c r="F347" s="0" t="s">
        <v>704</v>
      </c>
      <c r="H347" s="0" t="n">
        <v>1720</v>
      </c>
      <c r="J347" s="0" t="s">
        <v>36</v>
      </c>
      <c r="K347" s="0" t="s">
        <v>36</v>
      </c>
      <c r="L347" s="0" t="s">
        <v>36</v>
      </c>
      <c r="R347" s="0" t="s">
        <v>672</v>
      </c>
      <c r="S347" s="0" t="s">
        <v>66</v>
      </c>
      <c r="T347" s="0" t="n">
        <v>5</v>
      </c>
      <c r="U347" s="0" t="s">
        <v>705</v>
      </c>
      <c r="Z347" s="0" t="str">
        <f aca="false">HYPERLINK("http://lutemusic.org/composers/Bach/0999_prelude_Cm_ren/0999_prelude_ren.ft3")</f>
        <v>http://lutemusic.org/composers/Bach/0999_prelude_Cm_ren/0999_prelude_ren.ft3</v>
      </c>
      <c r="AA347" s="0" t="str">
        <f aca="false">HYPERLINK("http://lutemusic.org/composers/Bach/0999_prelude_Cm_ren/pdf/0999_prelude_ren.pdf")</f>
        <v>http://lutemusic.org/composers/Bach/0999_prelude_Cm_ren/pdf/0999_prelude_ren.pdf</v>
      </c>
      <c r="AB347" s="0" t="str">
        <f aca="false">HYPERLINK("http://lutemusic.org/composers/Bach/0999_prelude_Cm_ren/midi/0999_prelude_ren.mid")</f>
        <v>http://lutemusic.org/composers/Bach/0999_prelude_Cm_ren/midi/0999_prelude_ren.mid</v>
      </c>
      <c r="AC347" s="0" t="n">
        <v>1573937407</v>
      </c>
      <c r="AD347" s="0" t="n">
        <v>1586042062</v>
      </c>
    </row>
    <row r="348" customFormat="false" ht="12.8" hidden="false" customHeight="false" outlineLevel="0" collapsed="false">
      <c r="A348" s="0" t="s">
        <v>706</v>
      </c>
      <c r="B348" s="0" t="s">
        <v>707</v>
      </c>
      <c r="C348" s="0" t="s">
        <v>622</v>
      </c>
      <c r="E348" s="0" t="s">
        <v>622</v>
      </c>
      <c r="F348" s="0" t="s">
        <v>708</v>
      </c>
      <c r="H348" s="0" t="n">
        <v>1725</v>
      </c>
      <c r="J348" s="0" t="s">
        <v>36</v>
      </c>
      <c r="K348" s="0" t="s">
        <v>36</v>
      </c>
      <c r="P348" s="0" t="s">
        <v>709</v>
      </c>
      <c r="Q348" s="0" t="s">
        <v>707</v>
      </c>
      <c r="R348" s="0" t="s">
        <v>692</v>
      </c>
      <c r="S348" s="0" t="s">
        <v>119</v>
      </c>
      <c r="T348" s="0" t="n">
        <v>5</v>
      </c>
      <c r="U348" s="0" t="s">
        <v>705</v>
      </c>
      <c r="Z348" s="0" t="str">
        <f aca="false">HYPERLINK("http://lutemusic.org/composers/Bach/1000_fugue_Gm_ren/1000_fugue_ren.ft3")</f>
        <v>http://lutemusic.org/composers/Bach/1000_fugue_Gm_ren/1000_fugue_ren.ft3</v>
      </c>
      <c r="AA348" s="0" t="str">
        <f aca="false">HYPERLINK("http://lutemusic.org/composers/Bach/1000_fugue_Gm_ren/pdf/1000_fugue_ren.pdf")</f>
        <v>http://lutemusic.org/composers/Bach/1000_fugue_Gm_ren/pdf/1000_fugue_ren.pdf</v>
      </c>
      <c r="AB348" s="0" t="str">
        <f aca="false">HYPERLINK("http://lutemusic.org/composers/Bach/1000_fugue_Gm_ren/midi/1000_fugue_ren.mid")</f>
        <v>http://lutemusic.org/composers/Bach/1000_fugue_Gm_ren/midi/1000_fugue_ren.mid</v>
      </c>
      <c r="AC348" s="0" t="n">
        <v>1573937407</v>
      </c>
      <c r="AD348" s="0" t="n">
        <v>1586042062</v>
      </c>
    </row>
    <row r="349" customFormat="false" ht="12.8" hidden="false" customHeight="false" outlineLevel="0" collapsed="false">
      <c r="A349" s="0" t="s">
        <v>710</v>
      </c>
      <c r="B349" s="0" t="s">
        <v>668</v>
      </c>
      <c r="C349" s="0" t="s">
        <v>622</v>
      </c>
      <c r="E349" s="0" t="s">
        <v>622</v>
      </c>
      <c r="F349" s="0" t="s">
        <v>711</v>
      </c>
      <c r="H349" s="0" t="n">
        <v>1720</v>
      </c>
      <c r="J349" s="0" t="s">
        <v>36</v>
      </c>
      <c r="K349" s="0" t="s">
        <v>689</v>
      </c>
      <c r="P349" s="0" t="s">
        <v>699</v>
      </c>
      <c r="Q349" s="0" t="s">
        <v>668</v>
      </c>
      <c r="R349" s="0" t="s">
        <v>672</v>
      </c>
      <c r="S349" s="0" t="s">
        <v>712</v>
      </c>
      <c r="T349" s="0" t="n">
        <v>5</v>
      </c>
      <c r="U349" s="0" t="s">
        <v>644</v>
      </c>
      <c r="Z349" s="0" t="str">
        <f aca="false">HYPERLINK("http://lutemusic.org/composers/Bach/1006_lute_suite_EM_bar/1006_01_prelude.ft3")</f>
        <v>http://lutemusic.org/composers/Bach/1006_lute_suite_EM_bar/1006_01_prelude.ft3</v>
      </c>
      <c r="AA349" s="0" t="str">
        <f aca="false">HYPERLINK("http://lutemusic.org/composers/Bach/1006_lute_suite_EM_bar/pdf/1006_01_prelude.pdf")</f>
        <v>http://lutemusic.org/composers/Bach/1006_lute_suite_EM_bar/pdf/1006_01_prelude.pdf</v>
      </c>
      <c r="AB349" s="0" t="str">
        <f aca="false">HYPERLINK("http://lutemusic.org/composers/Bach/1006_lute_suite_EM_bar/midi/1006_01_prelude.mid")</f>
        <v>http://lutemusic.org/composers/Bach/1006_lute_suite_EM_bar/midi/1006_01_prelude.mid</v>
      </c>
      <c r="AC349" s="0" t="n">
        <v>1573937407</v>
      </c>
      <c r="AD349" s="0" t="n">
        <v>1586042062</v>
      </c>
    </row>
    <row r="350" customFormat="false" ht="12.8" hidden="false" customHeight="false" outlineLevel="0" collapsed="false">
      <c r="B350" s="0" t="s">
        <v>713</v>
      </c>
      <c r="C350" s="0" t="s">
        <v>622</v>
      </c>
      <c r="E350" s="0" t="s">
        <v>622</v>
      </c>
      <c r="F350" s="0" t="s">
        <v>711</v>
      </c>
      <c r="H350" s="0" t="n">
        <v>1720</v>
      </c>
      <c r="J350" s="0" t="s">
        <v>36</v>
      </c>
      <c r="K350" s="0" t="s">
        <v>689</v>
      </c>
      <c r="P350" s="0" t="s">
        <v>699</v>
      </c>
      <c r="Q350" s="0" t="s">
        <v>713</v>
      </c>
      <c r="R350" s="0" t="s">
        <v>714</v>
      </c>
      <c r="S350" s="0" t="s">
        <v>712</v>
      </c>
      <c r="T350" s="0" t="n">
        <v>5</v>
      </c>
      <c r="U350" s="0" t="s">
        <v>644</v>
      </c>
      <c r="Z350" s="0" t="str">
        <f aca="false">HYPERLINK("http://lutemusic.org/composers/Bach/1006_lute_suite_EM_bar/1006_02_loure.ft3")</f>
        <v>http://lutemusic.org/composers/Bach/1006_lute_suite_EM_bar/1006_02_loure.ft3</v>
      </c>
      <c r="AA350" s="0" t="str">
        <f aca="false">HYPERLINK("http://lutemusic.org/composers/Bach/1006_lute_suite_EM_bar/pdf/1006_02_loure.pdf")</f>
        <v>http://lutemusic.org/composers/Bach/1006_lute_suite_EM_bar/pdf/1006_02_loure.pdf</v>
      </c>
      <c r="AB350" s="0" t="str">
        <f aca="false">HYPERLINK("http://lutemusic.org/composers/Bach/1006_lute_suite_EM_bar/midi/1006_02_loure.mid")</f>
        <v>http://lutemusic.org/composers/Bach/1006_lute_suite_EM_bar/midi/1006_02_loure.mid</v>
      </c>
      <c r="AC350" s="0" t="n">
        <v>1573937407</v>
      </c>
      <c r="AD350" s="0" t="n">
        <v>1586042062</v>
      </c>
    </row>
    <row r="351" customFormat="false" ht="12.8" hidden="false" customHeight="false" outlineLevel="0" collapsed="false">
      <c r="B351" s="0" t="s">
        <v>715</v>
      </c>
      <c r="C351" s="0" t="s">
        <v>622</v>
      </c>
      <c r="E351" s="0" t="s">
        <v>622</v>
      </c>
      <c r="F351" s="0" t="s">
        <v>711</v>
      </c>
      <c r="H351" s="0" t="n">
        <v>1720</v>
      </c>
      <c r="J351" s="0" t="s">
        <v>36</v>
      </c>
      <c r="K351" s="0" t="s">
        <v>689</v>
      </c>
      <c r="P351" s="0" t="s">
        <v>716</v>
      </c>
      <c r="Q351" s="0" t="s">
        <v>717</v>
      </c>
      <c r="R351" s="0" t="s">
        <v>658</v>
      </c>
      <c r="S351" s="0" t="s">
        <v>712</v>
      </c>
      <c r="T351" s="0" t="n">
        <v>5</v>
      </c>
      <c r="U351" s="0" t="s">
        <v>644</v>
      </c>
      <c r="Z351" s="0" t="str">
        <f aca="false">HYPERLINK("http://lutemusic.org/composers/Bach/1006_lute_suite_EM_bar/1006_03_gavotte_en_rondeau.ft3")</f>
        <v>http://lutemusic.org/composers/Bach/1006_lute_suite_EM_bar/1006_03_gavotte_en_rondeau.ft3</v>
      </c>
      <c r="AA351" s="0" t="str">
        <f aca="false">HYPERLINK("http://lutemusic.org/composers/Bach/1006_lute_suite_EM_bar/pdf/1006_03_gavotte_en_rondeau.pdf")</f>
        <v>http://lutemusic.org/composers/Bach/1006_lute_suite_EM_bar/pdf/1006_03_gavotte_en_rondeau.pdf</v>
      </c>
      <c r="AB351" s="0" t="str">
        <f aca="false">HYPERLINK("http://lutemusic.org/composers/Bach/1006_lute_suite_EM_bar/midi/1006_03_gavotte_en_rondeau.mid")</f>
        <v>http://lutemusic.org/composers/Bach/1006_lute_suite_EM_bar/midi/1006_03_gavotte_en_rondeau.mid</v>
      </c>
      <c r="AC351" s="0" t="n">
        <v>1573937407</v>
      </c>
      <c r="AD351" s="0" t="n">
        <v>1586042062</v>
      </c>
    </row>
    <row r="352" customFormat="false" ht="12.8" hidden="false" customHeight="false" outlineLevel="0" collapsed="false">
      <c r="B352" s="0" t="s">
        <v>715</v>
      </c>
      <c r="C352" s="0" t="s">
        <v>622</v>
      </c>
      <c r="E352" s="0" t="s">
        <v>622</v>
      </c>
      <c r="F352" s="0" t="s">
        <v>711</v>
      </c>
      <c r="H352" s="0" t="n">
        <v>1720</v>
      </c>
      <c r="J352" s="0" t="s">
        <v>36</v>
      </c>
      <c r="K352" s="0" t="s">
        <v>689</v>
      </c>
      <c r="P352" s="0" t="s">
        <v>716</v>
      </c>
      <c r="Q352" s="0" t="s">
        <v>717</v>
      </c>
      <c r="R352" s="0" t="s">
        <v>718</v>
      </c>
      <c r="S352" s="0" t="s">
        <v>712</v>
      </c>
      <c r="T352" s="0" t="n">
        <v>5</v>
      </c>
      <c r="U352" s="0" t="s">
        <v>644</v>
      </c>
      <c r="Z352" s="0" t="str">
        <f aca="false">HYPERLINK("http://lutemusic.org/composers/Bach/1006_lute_suite_EM_bar/1006_03_gavotte_en_rondeau_ren.ft3")</f>
        <v>http://lutemusic.org/composers/Bach/1006_lute_suite_EM_bar/1006_03_gavotte_en_rondeau_ren.ft3</v>
      </c>
      <c r="AA352" s="0" t="str">
        <f aca="false">HYPERLINK("http://lutemusic.org/composers/Bach/1006_lute_suite_EM_bar/pdf/1006_03_gavotte_en_rondeau_ren.pdf")</f>
        <v>http://lutemusic.org/composers/Bach/1006_lute_suite_EM_bar/pdf/1006_03_gavotte_en_rondeau_ren.pdf</v>
      </c>
      <c r="AB352" s="0" t="str">
        <f aca="false">HYPERLINK("http://lutemusic.org/composers/Bach/1006_lute_suite_EM_bar/midi/1006_03_gavotte_en_rondeau_ren.mid")</f>
        <v>http://lutemusic.org/composers/Bach/1006_lute_suite_EM_bar/midi/1006_03_gavotte_en_rondeau_ren.mid</v>
      </c>
      <c r="AC352" s="0" t="n">
        <v>1573937407</v>
      </c>
      <c r="AD352" s="0" t="n">
        <v>1586042062</v>
      </c>
    </row>
    <row r="353" customFormat="false" ht="12.8" hidden="false" customHeight="false" outlineLevel="0" collapsed="false">
      <c r="B353" s="0" t="s">
        <v>502</v>
      </c>
      <c r="C353" s="0" t="s">
        <v>622</v>
      </c>
      <c r="E353" s="0" t="s">
        <v>622</v>
      </c>
      <c r="F353" s="0" t="s">
        <v>711</v>
      </c>
      <c r="H353" s="0" t="n">
        <v>1720</v>
      </c>
      <c r="J353" s="0" t="s">
        <v>36</v>
      </c>
      <c r="K353" s="0" t="s">
        <v>689</v>
      </c>
      <c r="P353" s="0" t="s">
        <v>716</v>
      </c>
      <c r="Q353" s="0" t="s">
        <v>502</v>
      </c>
      <c r="R353" s="0" t="s">
        <v>637</v>
      </c>
      <c r="S353" s="0" t="s">
        <v>712</v>
      </c>
      <c r="T353" s="0" t="n">
        <v>5</v>
      </c>
      <c r="U353" s="0" t="s">
        <v>644</v>
      </c>
      <c r="Z353" s="0" t="str">
        <f aca="false">HYPERLINK("http://lutemusic.org/composers/Bach/1006_lute_suite_EM_bar/1006_04_menuet_1.ft3")</f>
        <v>http://lutemusic.org/composers/Bach/1006_lute_suite_EM_bar/1006_04_menuet_1.ft3</v>
      </c>
      <c r="AA353" s="0" t="str">
        <f aca="false">HYPERLINK("http://lutemusic.org/composers/Bach/1006_lute_suite_EM_bar/pdf/1006_04_menuet_1.pdf")</f>
        <v>http://lutemusic.org/composers/Bach/1006_lute_suite_EM_bar/pdf/1006_04_menuet_1.pdf</v>
      </c>
      <c r="AB353" s="0" t="str">
        <f aca="false">HYPERLINK("http://lutemusic.org/composers/Bach/1006_lute_suite_EM_bar/midi/1006_04_menuet_1.mid")</f>
        <v>http://lutemusic.org/composers/Bach/1006_lute_suite_EM_bar/midi/1006_04_menuet_1.mid</v>
      </c>
      <c r="AC353" s="0" t="n">
        <v>1573937407</v>
      </c>
      <c r="AD353" s="0" t="n">
        <v>1586042062</v>
      </c>
    </row>
    <row r="354" customFormat="false" ht="12.8" hidden="false" customHeight="false" outlineLevel="0" collapsed="false">
      <c r="B354" s="0" t="s">
        <v>719</v>
      </c>
      <c r="C354" s="0" t="s">
        <v>622</v>
      </c>
      <c r="E354" s="0" t="s">
        <v>622</v>
      </c>
      <c r="F354" s="0" t="s">
        <v>711</v>
      </c>
      <c r="H354" s="0" t="n">
        <v>1720</v>
      </c>
      <c r="J354" s="0" t="s">
        <v>36</v>
      </c>
      <c r="K354" s="0" t="s">
        <v>689</v>
      </c>
      <c r="P354" s="0" t="s">
        <v>716</v>
      </c>
      <c r="Q354" s="0" t="s">
        <v>719</v>
      </c>
      <c r="R354" s="0" t="s">
        <v>637</v>
      </c>
      <c r="S354" s="0" t="s">
        <v>712</v>
      </c>
      <c r="T354" s="0" t="n">
        <v>5</v>
      </c>
      <c r="U354" s="0" t="s">
        <v>644</v>
      </c>
      <c r="Z354" s="0" t="str">
        <f aca="false">HYPERLINK("http://lutemusic.org/composers/Bach/1006_lute_suite_EM_bar/1006_05_menuet_2.ft3")</f>
        <v>http://lutemusic.org/composers/Bach/1006_lute_suite_EM_bar/1006_05_menuet_2.ft3</v>
      </c>
      <c r="AA354" s="0" t="str">
        <f aca="false">HYPERLINK("http://lutemusic.org/composers/Bach/1006_lute_suite_EM_bar/pdf/1006_05_menuet_2.pdf")</f>
        <v>http://lutemusic.org/composers/Bach/1006_lute_suite_EM_bar/pdf/1006_05_menuet_2.pdf</v>
      </c>
      <c r="AB354" s="0" t="str">
        <f aca="false">HYPERLINK("http://lutemusic.org/composers/Bach/1006_lute_suite_EM_bar/midi/1006_05_menuet_2.mid")</f>
        <v>http://lutemusic.org/composers/Bach/1006_lute_suite_EM_bar/midi/1006_05_menuet_2.mid</v>
      </c>
      <c r="AC354" s="0" t="n">
        <v>1573937407</v>
      </c>
      <c r="AD354" s="0" t="n">
        <v>1586042062</v>
      </c>
    </row>
    <row r="355" customFormat="false" ht="12.8" hidden="false" customHeight="false" outlineLevel="0" collapsed="false">
      <c r="B355" s="0" t="s">
        <v>720</v>
      </c>
      <c r="C355" s="0" t="s">
        <v>622</v>
      </c>
      <c r="E355" s="0" t="s">
        <v>622</v>
      </c>
      <c r="F355" s="0" t="s">
        <v>711</v>
      </c>
      <c r="H355" s="0" t="n">
        <v>1720</v>
      </c>
      <c r="J355" s="0" t="s">
        <v>36</v>
      </c>
      <c r="K355" s="0" t="s">
        <v>689</v>
      </c>
      <c r="P355" s="0" t="s">
        <v>716</v>
      </c>
      <c r="Q355" s="0" t="s">
        <v>721</v>
      </c>
      <c r="R355" s="0" t="s">
        <v>685</v>
      </c>
      <c r="S355" s="0" t="s">
        <v>712</v>
      </c>
      <c r="T355" s="0" t="n">
        <v>5</v>
      </c>
      <c r="U355" s="0" t="s">
        <v>644</v>
      </c>
      <c r="Z355" s="0" t="str">
        <f aca="false">HYPERLINK("http://lutemusic.org/composers/Bach/1006_lute_suite_EM_bar/1006_06_bouree.ft3")</f>
        <v>http://lutemusic.org/composers/Bach/1006_lute_suite_EM_bar/1006_06_bouree.ft3</v>
      </c>
      <c r="AA355" s="0" t="str">
        <f aca="false">HYPERLINK("http://lutemusic.org/composers/Bach/1006_lute_suite_EM_bar/pdf/1006_06_bouree.pdf")</f>
        <v>http://lutemusic.org/composers/Bach/1006_lute_suite_EM_bar/pdf/1006_06_bouree.pdf</v>
      </c>
      <c r="AB355" s="0" t="str">
        <f aca="false">HYPERLINK("http://lutemusic.org/composers/Bach/1006_lute_suite_EM_bar/midi/1006_06_bouree.mid")</f>
        <v>http://lutemusic.org/composers/Bach/1006_lute_suite_EM_bar/midi/1006_06_bouree.mid</v>
      </c>
      <c r="AC355" s="0" t="n">
        <v>1573937407</v>
      </c>
      <c r="AD355" s="0" t="n">
        <v>1586042062</v>
      </c>
    </row>
    <row r="356" customFormat="false" ht="12.8" hidden="false" customHeight="false" outlineLevel="0" collapsed="false">
      <c r="B356" s="0" t="s">
        <v>677</v>
      </c>
      <c r="C356" s="0" t="s">
        <v>622</v>
      </c>
      <c r="E356" s="0" t="s">
        <v>622</v>
      </c>
      <c r="F356" s="0" t="s">
        <v>711</v>
      </c>
      <c r="H356" s="0" t="n">
        <v>1720</v>
      </c>
      <c r="J356" s="0" t="s">
        <v>36</v>
      </c>
      <c r="K356" s="0" t="s">
        <v>689</v>
      </c>
      <c r="P356" s="0" t="s">
        <v>716</v>
      </c>
      <c r="Q356" s="0" t="s">
        <v>677</v>
      </c>
      <c r="R356" s="0" t="s">
        <v>678</v>
      </c>
      <c r="S356" s="0" t="s">
        <v>712</v>
      </c>
      <c r="T356" s="0" t="n">
        <v>5</v>
      </c>
      <c r="U356" s="0" t="s">
        <v>644</v>
      </c>
      <c r="Z356" s="0" t="str">
        <f aca="false">HYPERLINK("http://lutemusic.org/composers/Bach/1006_lute_suite_EM_bar/1006_07_gigue.ft3")</f>
        <v>http://lutemusic.org/composers/Bach/1006_lute_suite_EM_bar/1006_07_gigue.ft3</v>
      </c>
      <c r="AA356" s="0" t="str">
        <f aca="false">HYPERLINK("http://lutemusic.org/composers/Bach/1006_lute_suite_EM_bar/pdf/1006_07_gigue.pdf")</f>
        <v>http://lutemusic.org/composers/Bach/1006_lute_suite_EM_bar/pdf/1006_07_gigue.pdf</v>
      </c>
      <c r="AB356" s="0" t="str">
        <f aca="false">HYPERLINK("http://lutemusic.org/composers/Bach/1006_lute_suite_EM_bar/midi/1006_07_gigue.mid")</f>
        <v>http://lutemusic.org/composers/Bach/1006_lute_suite_EM_bar/midi/1006_07_gigue.mid</v>
      </c>
      <c r="AC356" s="0" t="n">
        <v>1573937407</v>
      </c>
      <c r="AD356" s="0" t="n">
        <v>1586042062</v>
      </c>
    </row>
    <row r="357" customFormat="false" ht="12.8" hidden="false" customHeight="false" outlineLevel="0" collapsed="false">
      <c r="A357" s="0" t="s">
        <v>722</v>
      </c>
      <c r="B357" s="0" t="s">
        <v>668</v>
      </c>
      <c r="C357" s="0" t="s">
        <v>622</v>
      </c>
      <c r="E357" s="0" t="s">
        <v>622</v>
      </c>
      <c r="F357" s="0" t="s">
        <v>723</v>
      </c>
      <c r="H357" s="0" t="n">
        <v>1720</v>
      </c>
      <c r="J357" s="0" t="s">
        <v>36</v>
      </c>
      <c r="K357" s="0" t="s">
        <v>689</v>
      </c>
      <c r="L357" s="0" t="s">
        <v>724</v>
      </c>
      <c r="P357" s="0" t="s">
        <v>725</v>
      </c>
      <c r="Q357" s="0" t="s">
        <v>668</v>
      </c>
      <c r="R357" s="0" t="s">
        <v>672</v>
      </c>
      <c r="S357" s="0" t="s">
        <v>84</v>
      </c>
      <c r="T357" s="0" t="n">
        <v>5</v>
      </c>
      <c r="U357" s="0" t="s">
        <v>726</v>
      </c>
      <c r="Z357" s="0" t="str">
        <f aca="false">HYPERLINK("http://lutemusic.org/composers/Bach/1007_cello_suite_GM_theorbo/1007_prelude_theorbo.ft3")</f>
        <v>http://lutemusic.org/composers/Bach/1007_cello_suite_GM_theorbo/1007_prelude_theorbo.ft3</v>
      </c>
      <c r="AA357" s="0" t="str">
        <f aca="false">HYPERLINK("http://lutemusic.org/composers/Bach/1007_cello_suite_GM_theorbo/pdf/1007_prelude_theorbo.pdf")</f>
        <v>http://lutemusic.org/composers/Bach/1007_cello_suite_GM_theorbo/pdf/1007_prelude_theorbo.pdf</v>
      </c>
      <c r="AB357" s="0" t="str">
        <f aca="false">HYPERLINK("http://lutemusic.org/composers/Bach/1007_cello_suite_GM_theorbo/midi/1007_prelude_theorbo.mid")</f>
        <v>http://lutemusic.org/composers/Bach/1007_cello_suite_GM_theorbo/midi/1007_prelude_theorbo.mid</v>
      </c>
      <c r="AC357" s="0" t="n">
        <v>1573937407</v>
      </c>
      <c r="AD357" s="0" t="n">
        <v>1586042062</v>
      </c>
    </row>
    <row r="358" customFormat="false" ht="12.8" hidden="false" customHeight="false" outlineLevel="0" collapsed="false">
      <c r="A358" s="0" t="s">
        <v>727</v>
      </c>
      <c r="B358" s="0" t="s">
        <v>576</v>
      </c>
      <c r="C358" s="0" t="s">
        <v>622</v>
      </c>
      <c r="E358" s="0" t="s">
        <v>622</v>
      </c>
      <c r="F358" s="0" t="s">
        <v>728</v>
      </c>
      <c r="H358" s="0" t="n">
        <v>1720</v>
      </c>
      <c r="J358" s="0" t="s">
        <v>36</v>
      </c>
      <c r="K358" s="0" t="s">
        <v>36</v>
      </c>
      <c r="P358" s="0" t="s">
        <v>729</v>
      </c>
      <c r="Q358" s="0" t="s">
        <v>576</v>
      </c>
      <c r="R358" s="0" t="s">
        <v>730</v>
      </c>
      <c r="S358" s="0" t="s">
        <v>84</v>
      </c>
      <c r="T358" s="0" t="n">
        <v>5</v>
      </c>
      <c r="U358" s="0" t="s">
        <v>731</v>
      </c>
      <c r="V358" s="0" t="s">
        <v>732</v>
      </c>
      <c r="Z358" s="0" t="str">
        <f aca="false">HYPERLINK("http://lutemusic.org/composers/Bach/1021_violin_sonata_GM/1_adagio/bwv_1021_1_adagio_B.ft3")</f>
        <v>http://lutemusic.org/composers/Bach/1021_violin_sonata_GM/1_adagio/bwv_1021_1_adagio_B.ft3</v>
      </c>
      <c r="AA358" s="0" t="str">
        <f aca="false">HYPERLINK("http://lutemusic.org/composers/Bach/1021_violin_sonata_GM/1_adagio/pdf/bwv_1021_1_adagio_B.pdf")</f>
        <v>http://lutemusic.org/composers/Bach/1021_violin_sonata_GM/1_adagio/pdf/bwv_1021_1_adagio_B.pdf</v>
      </c>
      <c r="AB358" s="0" t="str">
        <f aca="false">HYPERLINK("http://lutemusic.org/composers/Bach/1021_violin_sonata_GM/1_adagio/midi/bwv_1021_1_adagio_B.mid")</f>
        <v>http://lutemusic.org/composers/Bach/1021_violin_sonata_GM/1_adagio/midi/bwv_1021_1_adagio_B.mid</v>
      </c>
      <c r="AC358" s="0" t="n">
        <v>1573937407</v>
      </c>
      <c r="AD358" s="0" t="n">
        <v>1586042062</v>
      </c>
    </row>
    <row r="359" customFormat="false" ht="12.8" hidden="false" customHeight="false" outlineLevel="0" collapsed="false">
      <c r="A359" s="0" t="s">
        <v>727</v>
      </c>
      <c r="B359" s="0" t="s">
        <v>576</v>
      </c>
      <c r="C359" s="0" t="s">
        <v>622</v>
      </c>
      <c r="E359" s="0" t="s">
        <v>622</v>
      </c>
      <c r="F359" s="0" t="s">
        <v>728</v>
      </c>
      <c r="H359" s="0" t="n">
        <v>1720</v>
      </c>
      <c r="J359" s="0" t="s">
        <v>36</v>
      </c>
      <c r="K359" s="0" t="s">
        <v>36</v>
      </c>
      <c r="P359" s="0" t="s">
        <v>729</v>
      </c>
      <c r="Q359" s="0" t="s">
        <v>576</v>
      </c>
      <c r="R359" s="0" t="s">
        <v>730</v>
      </c>
      <c r="S359" s="0" t="s">
        <v>84</v>
      </c>
      <c r="T359" s="0" t="n">
        <v>5</v>
      </c>
      <c r="U359" s="0" t="s">
        <v>731</v>
      </c>
      <c r="V359" s="0" t="s">
        <v>41</v>
      </c>
      <c r="Z359" s="0" t="str">
        <f aca="false">HYPERLINK("http://lutemusic.org/composers/Bach/1021_violin_sonata_GM/1_adagio/bwv_1021_1_adagio_T.ft3")</f>
        <v>http://lutemusic.org/composers/Bach/1021_violin_sonata_GM/1_adagio/bwv_1021_1_adagio_T.ft3</v>
      </c>
      <c r="AA359" s="0" t="str">
        <f aca="false">HYPERLINK("http://lutemusic.org/composers/Bach/1021_violin_sonata_GM/1_adagio/pdf/bwv_1021_1_adagio_T.pdf")</f>
        <v>http://lutemusic.org/composers/Bach/1021_violin_sonata_GM/1_adagio/pdf/bwv_1021_1_adagio_T.pdf</v>
      </c>
      <c r="AB359" s="0" t="str">
        <f aca="false">HYPERLINK("http://lutemusic.org/composers/Bach/1021_violin_sonata_GM/1_adagio/midi/bwv_1021_1_adagio_T.mid")</f>
        <v>http://lutemusic.org/composers/Bach/1021_violin_sonata_GM/1_adagio/midi/bwv_1021_1_adagio_T.mid</v>
      </c>
      <c r="AC359" s="0" t="n">
        <v>1573937407</v>
      </c>
      <c r="AD359" s="0" t="n">
        <v>1586042062</v>
      </c>
    </row>
    <row r="360" customFormat="false" ht="12.8" hidden="false" customHeight="false" outlineLevel="0" collapsed="false">
      <c r="A360" s="0" t="s">
        <v>727</v>
      </c>
      <c r="B360" s="0" t="s">
        <v>576</v>
      </c>
      <c r="C360" s="0" t="s">
        <v>622</v>
      </c>
      <c r="E360" s="0" t="s">
        <v>622</v>
      </c>
      <c r="F360" s="0" t="s">
        <v>728</v>
      </c>
      <c r="H360" s="0" t="n">
        <v>1720</v>
      </c>
      <c r="J360" s="0" t="s">
        <v>36</v>
      </c>
      <c r="K360" s="0" t="s">
        <v>36</v>
      </c>
      <c r="P360" s="0" t="s">
        <v>729</v>
      </c>
      <c r="Q360" s="0" t="s">
        <v>576</v>
      </c>
      <c r="R360" s="0" t="s">
        <v>730</v>
      </c>
      <c r="S360" s="0" t="s">
        <v>84</v>
      </c>
      <c r="T360" s="0" t="n">
        <v>5</v>
      </c>
      <c r="U360" s="0" t="s">
        <v>731</v>
      </c>
      <c r="V360" s="0" t="s">
        <v>733</v>
      </c>
      <c r="Z360" s="0" t="str">
        <f aca="false">HYPERLINK("http://lutemusic.org/composers/Bach/1021_violin_sonata_GM/1_adagio/bwv_1021_1_adagio_VB.ft3")</f>
        <v>http://lutemusic.org/composers/Bach/1021_violin_sonata_GM/1_adagio/bwv_1021_1_adagio_VB.ft3</v>
      </c>
      <c r="AA360" s="0" t="str">
        <f aca="false">HYPERLINK("http://lutemusic.org/composers/Bach/1021_violin_sonata_GM/1_adagio/pdf/bwv_1021_1_adagio_VB.pdf")</f>
        <v>http://lutemusic.org/composers/Bach/1021_violin_sonata_GM/1_adagio/pdf/bwv_1021_1_adagio_VB.pdf</v>
      </c>
      <c r="AB360" s="0" t="str">
        <f aca="false">HYPERLINK("http://lutemusic.org/composers/Bach/1021_violin_sonata_GM/1_adagio/midi/bwv_1021_1_adagio_VB.mid")</f>
        <v>http://lutemusic.org/composers/Bach/1021_violin_sonata_GM/1_adagio/midi/bwv_1021_1_adagio_VB.mid</v>
      </c>
      <c r="AC360" s="0" t="n">
        <v>1573937407</v>
      </c>
      <c r="AD360" s="0" t="n">
        <v>1586042062</v>
      </c>
    </row>
    <row r="361" customFormat="false" ht="12.8" hidden="false" customHeight="false" outlineLevel="0" collapsed="false">
      <c r="A361" s="0" t="s">
        <v>727</v>
      </c>
      <c r="B361" s="0" t="s">
        <v>576</v>
      </c>
      <c r="C361" s="0" t="s">
        <v>622</v>
      </c>
      <c r="E361" s="0" t="s">
        <v>622</v>
      </c>
      <c r="F361" s="0" t="s">
        <v>728</v>
      </c>
      <c r="H361" s="0" t="n">
        <v>1720</v>
      </c>
      <c r="J361" s="0" t="s">
        <v>36</v>
      </c>
      <c r="K361" s="0" t="s">
        <v>36</v>
      </c>
      <c r="P361" s="0" t="s">
        <v>729</v>
      </c>
      <c r="Q361" s="0" t="s">
        <v>576</v>
      </c>
      <c r="R361" s="0" t="s">
        <v>730</v>
      </c>
      <c r="S361" s="0" t="s">
        <v>84</v>
      </c>
      <c r="T361" s="0" t="n">
        <v>5</v>
      </c>
      <c r="U361" s="0" t="s">
        <v>731</v>
      </c>
      <c r="V361" s="0" t="s">
        <v>40</v>
      </c>
      <c r="Z361" s="0" t="str">
        <f aca="false">HYPERLINK("http://lutemusic.org/composers/Bach/1021_violin_sonata_GM/1_adagio/bwv_1021_1_adagio_VBT.ft3")</f>
        <v>http://lutemusic.org/composers/Bach/1021_violin_sonata_GM/1_adagio/bwv_1021_1_adagio_VBT.ft3</v>
      </c>
      <c r="AA361" s="0" t="str">
        <f aca="false">HYPERLINK("http://lutemusic.org/composers/Bach/1021_violin_sonata_GM/1_adagio/pdf/bwv_1021_1_adagio_VBT.pdf")</f>
        <v>http://lutemusic.org/composers/Bach/1021_violin_sonata_GM/1_adagio/pdf/bwv_1021_1_adagio_VBT.pdf</v>
      </c>
      <c r="AB361" s="0" t="str">
        <f aca="false">HYPERLINK("http://lutemusic.org/composers/Bach/1021_violin_sonata_GM/1_adagio/midi/bwv_1021_1_adagio_VBT.mid")</f>
        <v>http://lutemusic.org/composers/Bach/1021_violin_sonata_GM/1_adagio/midi/bwv_1021_1_adagio_VBT.mid</v>
      </c>
      <c r="AC361" s="0" t="n">
        <v>1573937407</v>
      </c>
      <c r="AD361" s="0" t="n">
        <v>1586042062</v>
      </c>
    </row>
    <row r="362" customFormat="false" ht="12.8" hidden="false" customHeight="false" outlineLevel="0" collapsed="false">
      <c r="A362" s="0" t="s">
        <v>727</v>
      </c>
      <c r="B362" s="0" t="s">
        <v>576</v>
      </c>
      <c r="C362" s="0" t="s">
        <v>622</v>
      </c>
      <c r="E362" s="0" t="s">
        <v>622</v>
      </c>
      <c r="F362" s="0" t="s">
        <v>728</v>
      </c>
      <c r="H362" s="0" t="n">
        <v>1720</v>
      </c>
      <c r="J362" s="0" t="s">
        <v>36</v>
      </c>
      <c r="K362" s="0" t="s">
        <v>36</v>
      </c>
      <c r="P362" s="0" t="s">
        <v>729</v>
      </c>
      <c r="Q362" s="0" t="s">
        <v>576</v>
      </c>
      <c r="R362" s="0" t="s">
        <v>730</v>
      </c>
      <c r="S362" s="0" t="s">
        <v>84</v>
      </c>
      <c r="T362" s="0" t="n">
        <v>5</v>
      </c>
      <c r="U362" s="0" t="s">
        <v>731</v>
      </c>
      <c r="V362" s="0" t="s">
        <v>734</v>
      </c>
      <c r="Z362" s="0" t="str">
        <f aca="false">HYPERLINK("http://lutemusic.org/composers/Bach/1021_violin_sonata_GM/1_adagio/bwv_1021_1_adagio_VT.ft3")</f>
        <v>http://lutemusic.org/composers/Bach/1021_violin_sonata_GM/1_adagio/bwv_1021_1_adagio_VT.ft3</v>
      </c>
      <c r="AA362" s="0" t="str">
        <f aca="false">HYPERLINK("http://lutemusic.org/composers/Bach/1021_violin_sonata_GM/1_adagio/pdf/bwv_1021_1_adagio_VT.pdf")</f>
        <v>http://lutemusic.org/composers/Bach/1021_violin_sonata_GM/1_adagio/pdf/bwv_1021_1_adagio_VT.pdf</v>
      </c>
      <c r="AB362" s="0" t="str">
        <f aca="false">HYPERLINK("http://lutemusic.org/composers/Bach/1021_violin_sonata_GM/1_adagio/midi/bwv_1021_1_adagio_VT.mid")</f>
        <v>http://lutemusic.org/composers/Bach/1021_violin_sonata_GM/1_adagio/midi/bwv_1021_1_adagio_VT.mid</v>
      </c>
      <c r="AC362" s="0" t="n">
        <v>1573937407</v>
      </c>
      <c r="AD362" s="0" t="n">
        <v>1586042062</v>
      </c>
    </row>
    <row r="363" customFormat="false" ht="12.8" hidden="false" customHeight="false" outlineLevel="0" collapsed="false">
      <c r="B363" s="0" t="s">
        <v>735</v>
      </c>
      <c r="C363" s="0" t="s">
        <v>622</v>
      </c>
      <c r="E363" s="0" t="s">
        <v>622</v>
      </c>
      <c r="F363" s="0" t="s">
        <v>728</v>
      </c>
      <c r="H363" s="0" t="n">
        <v>1720</v>
      </c>
      <c r="J363" s="0" t="s">
        <v>36</v>
      </c>
      <c r="K363" s="0" t="s">
        <v>36</v>
      </c>
      <c r="P363" s="0" t="s">
        <v>729</v>
      </c>
      <c r="Q363" s="0" t="s">
        <v>735</v>
      </c>
      <c r="R363" s="0" t="s">
        <v>736</v>
      </c>
      <c r="S363" s="0" t="s">
        <v>84</v>
      </c>
      <c r="T363" s="0" t="n">
        <v>5</v>
      </c>
      <c r="U363" s="0" t="s">
        <v>731</v>
      </c>
      <c r="V363" s="0" t="s">
        <v>732</v>
      </c>
      <c r="Z363" s="0" t="str">
        <f aca="false">HYPERLINK("http://lutemusic.org/composers/Bach/1021_violin_sonata_GM/2_vivace/bwv_1021_2_vivace_B.ft3")</f>
        <v>http://lutemusic.org/composers/Bach/1021_violin_sonata_GM/2_vivace/bwv_1021_2_vivace_B.ft3</v>
      </c>
      <c r="AA363" s="0" t="str">
        <f aca="false">HYPERLINK("http://lutemusic.org/composers/Bach/1021_violin_sonata_GM/2_vivace/pdf/bwv_1021_2_vivace_B.pdf")</f>
        <v>http://lutemusic.org/composers/Bach/1021_violin_sonata_GM/2_vivace/pdf/bwv_1021_2_vivace_B.pdf</v>
      </c>
      <c r="AB363" s="0" t="str">
        <f aca="false">HYPERLINK("http://lutemusic.org/composers/Bach/1021_violin_sonata_GM/2_vivace/midi/bwv_1021_2_vivace_B.mid")</f>
        <v>http://lutemusic.org/composers/Bach/1021_violin_sonata_GM/2_vivace/midi/bwv_1021_2_vivace_B.mid</v>
      </c>
      <c r="AC363" s="0" t="n">
        <v>1573937407</v>
      </c>
      <c r="AD363" s="0" t="n">
        <v>1586042062</v>
      </c>
    </row>
    <row r="364" customFormat="false" ht="12.8" hidden="false" customHeight="false" outlineLevel="0" collapsed="false">
      <c r="B364" s="0" t="s">
        <v>735</v>
      </c>
      <c r="C364" s="0" t="s">
        <v>622</v>
      </c>
      <c r="E364" s="0" t="s">
        <v>622</v>
      </c>
      <c r="F364" s="0" t="s">
        <v>728</v>
      </c>
      <c r="H364" s="0" t="n">
        <v>1720</v>
      </c>
      <c r="J364" s="0" t="s">
        <v>36</v>
      </c>
      <c r="K364" s="0" t="s">
        <v>36</v>
      </c>
      <c r="P364" s="0" t="s">
        <v>729</v>
      </c>
      <c r="Q364" s="0" t="s">
        <v>735</v>
      </c>
      <c r="R364" s="0" t="s">
        <v>736</v>
      </c>
      <c r="S364" s="0" t="s">
        <v>84</v>
      </c>
      <c r="T364" s="0" t="n">
        <v>5</v>
      </c>
      <c r="U364" s="0" t="s">
        <v>731</v>
      </c>
      <c r="V364" s="0" t="s">
        <v>41</v>
      </c>
      <c r="Z364" s="0" t="str">
        <f aca="false">HYPERLINK("http://lutemusic.org/composers/Bach/1021_violin_sonata_GM/2_vivace/bwv_1021_2_vivace_T.ft3")</f>
        <v>http://lutemusic.org/composers/Bach/1021_violin_sonata_GM/2_vivace/bwv_1021_2_vivace_T.ft3</v>
      </c>
      <c r="AA364" s="0" t="str">
        <f aca="false">HYPERLINK("http://lutemusic.org/composers/Bach/1021_violin_sonata_GM/2_vivace/pdf/bwv_1021_2_vivace_T.pdf")</f>
        <v>http://lutemusic.org/composers/Bach/1021_violin_sonata_GM/2_vivace/pdf/bwv_1021_2_vivace_T.pdf</v>
      </c>
      <c r="AB364" s="0" t="str">
        <f aca="false">HYPERLINK("http://lutemusic.org/composers/Bach/1021_violin_sonata_GM/2_vivace/midi/bwv_1021_2_vivace_T.mid")</f>
        <v>http://lutemusic.org/composers/Bach/1021_violin_sonata_GM/2_vivace/midi/bwv_1021_2_vivace_T.mid</v>
      </c>
      <c r="AC364" s="0" t="n">
        <v>1573937407</v>
      </c>
      <c r="AD364" s="0" t="n">
        <v>1586042062</v>
      </c>
    </row>
    <row r="365" customFormat="false" ht="12.8" hidden="false" customHeight="false" outlineLevel="0" collapsed="false">
      <c r="B365" s="0" t="s">
        <v>735</v>
      </c>
      <c r="C365" s="0" t="s">
        <v>622</v>
      </c>
      <c r="E365" s="0" t="s">
        <v>622</v>
      </c>
      <c r="F365" s="0" t="s">
        <v>728</v>
      </c>
      <c r="H365" s="0" t="n">
        <v>1720</v>
      </c>
      <c r="J365" s="0" t="s">
        <v>36</v>
      </c>
      <c r="K365" s="0" t="s">
        <v>36</v>
      </c>
      <c r="P365" s="0" t="s">
        <v>729</v>
      </c>
      <c r="Q365" s="0" t="s">
        <v>735</v>
      </c>
      <c r="R365" s="0" t="s">
        <v>736</v>
      </c>
      <c r="S365" s="0" t="s">
        <v>84</v>
      </c>
      <c r="T365" s="0" t="n">
        <v>5</v>
      </c>
      <c r="U365" s="0" t="s">
        <v>731</v>
      </c>
      <c r="V365" s="0" t="s">
        <v>733</v>
      </c>
      <c r="Z365" s="0" t="str">
        <f aca="false">HYPERLINK("http://lutemusic.org/composers/Bach/1021_violin_sonata_GM/2_vivace/bwv_1021_2_vivace_VB.ft3")</f>
        <v>http://lutemusic.org/composers/Bach/1021_violin_sonata_GM/2_vivace/bwv_1021_2_vivace_VB.ft3</v>
      </c>
      <c r="AA365" s="0" t="str">
        <f aca="false">HYPERLINK("http://lutemusic.org/composers/Bach/1021_violin_sonata_GM/2_vivace/pdf/bwv_1021_2_vivace_VB.pdf")</f>
        <v>http://lutemusic.org/composers/Bach/1021_violin_sonata_GM/2_vivace/pdf/bwv_1021_2_vivace_VB.pdf</v>
      </c>
      <c r="AB365" s="0" t="str">
        <f aca="false">HYPERLINK("http://lutemusic.org/composers/Bach/1021_violin_sonata_GM/2_vivace/midi/bwv_1021_2_vivace_VB.mid")</f>
        <v>http://lutemusic.org/composers/Bach/1021_violin_sonata_GM/2_vivace/midi/bwv_1021_2_vivace_VB.mid</v>
      </c>
      <c r="AC365" s="0" t="n">
        <v>1573937407</v>
      </c>
      <c r="AD365" s="0" t="n">
        <v>1586042062</v>
      </c>
    </row>
    <row r="366" customFormat="false" ht="12.8" hidden="false" customHeight="false" outlineLevel="0" collapsed="false">
      <c r="B366" s="0" t="s">
        <v>735</v>
      </c>
      <c r="C366" s="0" t="s">
        <v>622</v>
      </c>
      <c r="E366" s="0" t="s">
        <v>622</v>
      </c>
      <c r="F366" s="0" t="s">
        <v>728</v>
      </c>
      <c r="H366" s="0" t="n">
        <v>1720</v>
      </c>
      <c r="J366" s="0" t="s">
        <v>36</v>
      </c>
      <c r="K366" s="0" t="s">
        <v>36</v>
      </c>
      <c r="P366" s="0" t="s">
        <v>729</v>
      </c>
      <c r="Q366" s="0" t="s">
        <v>735</v>
      </c>
      <c r="R366" s="0" t="s">
        <v>736</v>
      </c>
      <c r="S366" s="0" t="s">
        <v>84</v>
      </c>
      <c r="T366" s="0" t="n">
        <v>5</v>
      </c>
      <c r="U366" s="0" t="s">
        <v>731</v>
      </c>
      <c r="V366" s="0" t="s">
        <v>40</v>
      </c>
      <c r="Z366" s="0" t="str">
        <f aca="false">HYPERLINK("http://lutemusic.org/composers/Bach/1021_violin_sonata_GM/2_vivace/bwv_1021_2_vivace_VBT.ft3")</f>
        <v>http://lutemusic.org/composers/Bach/1021_violin_sonata_GM/2_vivace/bwv_1021_2_vivace_VBT.ft3</v>
      </c>
      <c r="AA366" s="0" t="str">
        <f aca="false">HYPERLINK("http://lutemusic.org/composers/Bach/1021_violin_sonata_GM/2_vivace/pdf/bwv_1021_2_vivace_VBT.pdf")</f>
        <v>http://lutemusic.org/composers/Bach/1021_violin_sonata_GM/2_vivace/pdf/bwv_1021_2_vivace_VBT.pdf</v>
      </c>
      <c r="AB366" s="0" t="str">
        <f aca="false">HYPERLINK("http://lutemusic.org/composers/Bach/1021_violin_sonata_GM/2_vivace/midi/bwv_1021_2_vivace_VBT.mid")</f>
        <v>http://lutemusic.org/composers/Bach/1021_violin_sonata_GM/2_vivace/midi/bwv_1021_2_vivace_VBT.mid</v>
      </c>
      <c r="AC366" s="0" t="n">
        <v>1573937407</v>
      </c>
      <c r="AD366" s="0" t="n">
        <v>1586042062</v>
      </c>
    </row>
    <row r="367" customFormat="false" ht="12.8" hidden="false" customHeight="false" outlineLevel="0" collapsed="false">
      <c r="B367" s="0" t="s">
        <v>735</v>
      </c>
      <c r="C367" s="0" t="s">
        <v>622</v>
      </c>
      <c r="E367" s="0" t="s">
        <v>622</v>
      </c>
      <c r="F367" s="0" t="s">
        <v>728</v>
      </c>
      <c r="H367" s="0" t="n">
        <v>1720</v>
      </c>
      <c r="J367" s="0" t="s">
        <v>36</v>
      </c>
      <c r="K367" s="0" t="s">
        <v>36</v>
      </c>
      <c r="P367" s="0" t="s">
        <v>729</v>
      </c>
      <c r="Q367" s="0" t="s">
        <v>735</v>
      </c>
      <c r="R367" s="0" t="s">
        <v>736</v>
      </c>
      <c r="S367" s="0" t="s">
        <v>84</v>
      </c>
      <c r="T367" s="0" t="n">
        <v>5</v>
      </c>
      <c r="U367" s="0" t="s">
        <v>731</v>
      </c>
      <c r="V367" s="0" t="s">
        <v>734</v>
      </c>
      <c r="Z367" s="0" t="str">
        <f aca="false">HYPERLINK("http://lutemusic.org/composers/Bach/1021_violin_sonata_GM/2_vivace/bwv_1021_2_vivace_VT.ft3")</f>
        <v>http://lutemusic.org/composers/Bach/1021_violin_sonata_GM/2_vivace/bwv_1021_2_vivace_VT.ft3</v>
      </c>
      <c r="AA367" s="0" t="str">
        <f aca="false">HYPERLINK("http://lutemusic.org/composers/Bach/1021_violin_sonata_GM/2_vivace/pdf/bwv_1021_2_vivace_VT.pdf")</f>
        <v>http://lutemusic.org/composers/Bach/1021_violin_sonata_GM/2_vivace/pdf/bwv_1021_2_vivace_VT.pdf</v>
      </c>
      <c r="AB367" s="0" t="str">
        <f aca="false">HYPERLINK("http://lutemusic.org/composers/Bach/1021_violin_sonata_GM/2_vivace/midi/bwv_1021_2_vivace_VT.mid")</f>
        <v>http://lutemusic.org/composers/Bach/1021_violin_sonata_GM/2_vivace/midi/bwv_1021_2_vivace_VT.mid</v>
      </c>
      <c r="AC367" s="0" t="n">
        <v>1573937407</v>
      </c>
      <c r="AD367" s="0" t="n">
        <v>1586042062</v>
      </c>
    </row>
    <row r="368" customFormat="false" ht="12.8" hidden="false" customHeight="false" outlineLevel="0" collapsed="false">
      <c r="B368" s="0" t="s">
        <v>737</v>
      </c>
      <c r="C368" s="0" t="s">
        <v>622</v>
      </c>
      <c r="E368" s="0" t="s">
        <v>622</v>
      </c>
      <c r="F368" s="0" t="s">
        <v>728</v>
      </c>
      <c r="H368" s="0" t="n">
        <v>1720</v>
      </c>
      <c r="J368" s="0" t="s">
        <v>36</v>
      </c>
      <c r="K368" s="0" t="s">
        <v>36</v>
      </c>
      <c r="P368" s="0" t="s">
        <v>729</v>
      </c>
      <c r="Q368" s="0" t="s">
        <v>737</v>
      </c>
      <c r="R368" s="0" t="s">
        <v>738</v>
      </c>
      <c r="S368" s="0" t="s">
        <v>84</v>
      </c>
      <c r="T368" s="0" t="n">
        <v>5</v>
      </c>
      <c r="U368" s="0" t="s">
        <v>731</v>
      </c>
      <c r="V368" s="0" t="s">
        <v>732</v>
      </c>
      <c r="Z368" s="0" t="str">
        <f aca="false">HYPERLINK("http://lutemusic.org/composers/Bach/1021_violin_sonata_GM/3_largo/bwv_1021_3_largo_B.ft3")</f>
        <v>http://lutemusic.org/composers/Bach/1021_violin_sonata_GM/3_largo/bwv_1021_3_largo_B.ft3</v>
      </c>
      <c r="AA368" s="0" t="str">
        <f aca="false">HYPERLINK("http://lutemusic.org/composers/Bach/1021_violin_sonata_GM/3_largo/pdf/bwv_1021_3_largo_B.pdf")</f>
        <v>http://lutemusic.org/composers/Bach/1021_violin_sonata_GM/3_largo/pdf/bwv_1021_3_largo_B.pdf</v>
      </c>
      <c r="AB368" s="0" t="str">
        <f aca="false">HYPERLINK("http://lutemusic.org/composers/Bach/1021_violin_sonata_GM/3_largo/midi/bwv_1021_3_largo_B.mid")</f>
        <v>http://lutemusic.org/composers/Bach/1021_violin_sonata_GM/3_largo/midi/bwv_1021_3_largo_B.mid</v>
      </c>
      <c r="AC368" s="0" t="n">
        <v>1573937407</v>
      </c>
      <c r="AD368" s="0" t="n">
        <v>1586042062</v>
      </c>
    </row>
    <row r="369" customFormat="false" ht="12.8" hidden="false" customHeight="false" outlineLevel="0" collapsed="false">
      <c r="B369" s="0" t="s">
        <v>737</v>
      </c>
      <c r="C369" s="0" t="s">
        <v>622</v>
      </c>
      <c r="E369" s="0" t="s">
        <v>622</v>
      </c>
      <c r="F369" s="0" t="s">
        <v>728</v>
      </c>
      <c r="H369" s="0" t="n">
        <v>1720</v>
      </c>
      <c r="J369" s="0" t="s">
        <v>36</v>
      </c>
      <c r="K369" s="0" t="s">
        <v>36</v>
      </c>
      <c r="P369" s="0" t="s">
        <v>729</v>
      </c>
      <c r="Q369" s="0" t="s">
        <v>737</v>
      </c>
      <c r="R369" s="0" t="s">
        <v>738</v>
      </c>
      <c r="S369" s="0" t="s">
        <v>84</v>
      </c>
      <c r="T369" s="0" t="n">
        <v>5</v>
      </c>
      <c r="U369" s="0" t="s">
        <v>731</v>
      </c>
      <c r="V369" s="0" t="s">
        <v>41</v>
      </c>
      <c r="Z369" s="0" t="str">
        <f aca="false">HYPERLINK("http://lutemusic.org/composers/Bach/1021_violin_sonata_GM/3_largo/bwv_1021_3_largo_T.ft3")</f>
        <v>http://lutemusic.org/composers/Bach/1021_violin_sonata_GM/3_largo/bwv_1021_3_largo_T.ft3</v>
      </c>
      <c r="AA369" s="0" t="str">
        <f aca="false">HYPERLINK("http://lutemusic.org/composers/Bach/1021_violin_sonata_GM/3_largo/pdf/bwv_1021_3_largo_T.pdf")</f>
        <v>http://lutemusic.org/composers/Bach/1021_violin_sonata_GM/3_largo/pdf/bwv_1021_3_largo_T.pdf</v>
      </c>
      <c r="AB369" s="0" t="str">
        <f aca="false">HYPERLINK("http://lutemusic.org/composers/Bach/1021_violin_sonata_GM/3_largo/midi/bwv_1021_3_largo_T.mid")</f>
        <v>http://lutemusic.org/composers/Bach/1021_violin_sonata_GM/3_largo/midi/bwv_1021_3_largo_T.mid</v>
      </c>
      <c r="AC369" s="0" t="n">
        <v>1573937407</v>
      </c>
      <c r="AD369" s="0" t="n">
        <v>1586042062</v>
      </c>
    </row>
    <row r="370" customFormat="false" ht="12.8" hidden="false" customHeight="false" outlineLevel="0" collapsed="false">
      <c r="B370" s="0" t="s">
        <v>737</v>
      </c>
      <c r="C370" s="0" t="s">
        <v>622</v>
      </c>
      <c r="E370" s="0" t="s">
        <v>622</v>
      </c>
      <c r="F370" s="0" t="s">
        <v>728</v>
      </c>
      <c r="H370" s="0" t="n">
        <v>1720</v>
      </c>
      <c r="J370" s="0" t="s">
        <v>36</v>
      </c>
      <c r="K370" s="0" t="s">
        <v>36</v>
      </c>
      <c r="P370" s="0" t="s">
        <v>729</v>
      </c>
      <c r="Q370" s="0" t="s">
        <v>737</v>
      </c>
      <c r="R370" s="0" t="s">
        <v>738</v>
      </c>
      <c r="S370" s="0" t="s">
        <v>84</v>
      </c>
      <c r="T370" s="0" t="n">
        <v>5</v>
      </c>
      <c r="U370" s="0" t="s">
        <v>731</v>
      </c>
      <c r="V370" s="0" t="s">
        <v>733</v>
      </c>
      <c r="Z370" s="0" t="str">
        <f aca="false">HYPERLINK("http://lutemusic.org/composers/Bach/1021_violin_sonata_GM/3_largo/bwv_1021_3_largo_VB.ft3")</f>
        <v>http://lutemusic.org/composers/Bach/1021_violin_sonata_GM/3_largo/bwv_1021_3_largo_VB.ft3</v>
      </c>
      <c r="AA370" s="0" t="str">
        <f aca="false">HYPERLINK("http://lutemusic.org/composers/Bach/1021_violin_sonata_GM/3_largo/pdf/bwv_1021_3_largo_VB.pdf")</f>
        <v>http://lutemusic.org/composers/Bach/1021_violin_sonata_GM/3_largo/pdf/bwv_1021_3_largo_VB.pdf</v>
      </c>
      <c r="AB370" s="0" t="str">
        <f aca="false">HYPERLINK("http://lutemusic.org/composers/Bach/1021_violin_sonata_GM/3_largo/midi/bwv_1021_3_largo_VB.mid")</f>
        <v>http://lutemusic.org/composers/Bach/1021_violin_sonata_GM/3_largo/midi/bwv_1021_3_largo_VB.mid</v>
      </c>
      <c r="AC370" s="0" t="n">
        <v>1573937407</v>
      </c>
      <c r="AD370" s="0" t="n">
        <v>1586042062</v>
      </c>
    </row>
    <row r="371" customFormat="false" ht="12.8" hidden="false" customHeight="false" outlineLevel="0" collapsed="false">
      <c r="B371" s="0" t="s">
        <v>737</v>
      </c>
      <c r="C371" s="0" t="s">
        <v>622</v>
      </c>
      <c r="E371" s="0" t="s">
        <v>622</v>
      </c>
      <c r="F371" s="0" t="s">
        <v>728</v>
      </c>
      <c r="H371" s="0" t="n">
        <v>1720</v>
      </c>
      <c r="J371" s="0" t="s">
        <v>36</v>
      </c>
      <c r="K371" s="0" t="s">
        <v>36</v>
      </c>
      <c r="P371" s="0" t="s">
        <v>729</v>
      </c>
      <c r="Q371" s="0" t="s">
        <v>737</v>
      </c>
      <c r="R371" s="0" t="s">
        <v>738</v>
      </c>
      <c r="S371" s="0" t="s">
        <v>84</v>
      </c>
      <c r="T371" s="0" t="n">
        <v>5</v>
      </c>
      <c r="U371" s="0" t="s">
        <v>731</v>
      </c>
      <c r="V371" s="0" t="s">
        <v>40</v>
      </c>
      <c r="Z371" s="0" t="str">
        <f aca="false">HYPERLINK("http://lutemusic.org/composers/Bach/1021_violin_sonata_GM/3_largo/bwv_1021_3_largo_VBT.ft3")</f>
        <v>http://lutemusic.org/composers/Bach/1021_violin_sonata_GM/3_largo/bwv_1021_3_largo_VBT.ft3</v>
      </c>
      <c r="AA371" s="0" t="str">
        <f aca="false">HYPERLINK("http://lutemusic.org/composers/Bach/1021_violin_sonata_GM/3_largo/pdf/bwv_1021_3_largo_VBT.pdf")</f>
        <v>http://lutemusic.org/composers/Bach/1021_violin_sonata_GM/3_largo/pdf/bwv_1021_3_largo_VBT.pdf</v>
      </c>
      <c r="AB371" s="0" t="str">
        <f aca="false">HYPERLINK("http://lutemusic.org/composers/Bach/1021_violin_sonata_GM/3_largo/midi/bwv_1021_3_largo_VBT.mid")</f>
        <v>http://lutemusic.org/composers/Bach/1021_violin_sonata_GM/3_largo/midi/bwv_1021_3_largo_VBT.mid</v>
      </c>
      <c r="AC371" s="0" t="n">
        <v>1573937407</v>
      </c>
      <c r="AD371" s="0" t="n">
        <v>1586042062</v>
      </c>
    </row>
    <row r="372" customFormat="false" ht="12.8" hidden="false" customHeight="false" outlineLevel="0" collapsed="false">
      <c r="B372" s="0" t="s">
        <v>737</v>
      </c>
      <c r="C372" s="0" t="s">
        <v>622</v>
      </c>
      <c r="E372" s="0" t="s">
        <v>622</v>
      </c>
      <c r="F372" s="0" t="s">
        <v>728</v>
      </c>
      <c r="H372" s="0" t="n">
        <v>1720</v>
      </c>
      <c r="J372" s="0" t="s">
        <v>36</v>
      </c>
      <c r="K372" s="0" t="s">
        <v>36</v>
      </c>
      <c r="P372" s="0" t="s">
        <v>729</v>
      </c>
      <c r="Q372" s="0" t="s">
        <v>737</v>
      </c>
      <c r="R372" s="0" t="s">
        <v>738</v>
      </c>
      <c r="S372" s="0" t="s">
        <v>84</v>
      </c>
      <c r="T372" s="0" t="n">
        <v>5</v>
      </c>
      <c r="U372" s="0" t="s">
        <v>731</v>
      </c>
      <c r="V372" s="0" t="s">
        <v>734</v>
      </c>
      <c r="Z372" s="0" t="str">
        <f aca="false">HYPERLINK("http://lutemusic.org/composers/Bach/1021_violin_sonata_GM/3_largo/bwv_1021_3_largo_VT.ft3")</f>
        <v>http://lutemusic.org/composers/Bach/1021_violin_sonata_GM/3_largo/bwv_1021_3_largo_VT.ft3</v>
      </c>
      <c r="AA372" s="0" t="str">
        <f aca="false">HYPERLINK("http://lutemusic.org/composers/Bach/1021_violin_sonata_GM/3_largo/pdf/bwv_1021_3_largo_VT.pdf")</f>
        <v>http://lutemusic.org/composers/Bach/1021_violin_sonata_GM/3_largo/pdf/bwv_1021_3_largo_VT.pdf</v>
      </c>
      <c r="AB372" s="0" t="str">
        <f aca="false">HYPERLINK("http://lutemusic.org/composers/Bach/1021_violin_sonata_GM/3_largo/midi/bwv_1021_3_largo_VT.mid")</f>
        <v>http://lutemusic.org/composers/Bach/1021_violin_sonata_GM/3_largo/midi/bwv_1021_3_largo_VT.mid</v>
      </c>
      <c r="AC372" s="0" t="n">
        <v>1573937407</v>
      </c>
      <c r="AD372" s="0" t="n">
        <v>1586042062</v>
      </c>
    </row>
    <row r="373" customFormat="false" ht="12.8" hidden="false" customHeight="false" outlineLevel="0" collapsed="false">
      <c r="B373" s="0" t="s">
        <v>739</v>
      </c>
      <c r="C373" s="0" t="s">
        <v>622</v>
      </c>
      <c r="E373" s="0" t="s">
        <v>622</v>
      </c>
      <c r="F373" s="0" t="s">
        <v>728</v>
      </c>
      <c r="H373" s="0" t="n">
        <v>1720</v>
      </c>
      <c r="J373" s="0" t="s">
        <v>36</v>
      </c>
      <c r="K373" s="0" t="s">
        <v>36</v>
      </c>
      <c r="P373" s="0" t="s">
        <v>729</v>
      </c>
      <c r="Q373" s="0" t="s">
        <v>739</v>
      </c>
      <c r="R373" s="0" t="s">
        <v>740</v>
      </c>
      <c r="S373" s="0" t="s">
        <v>84</v>
      </c>
      <c r="T373" s="0" t="n">
        <v>5</v>
      </c>
      <c r="U373" s="0" t="s">
        <v>731</v>
      </c>
      <c r="V373" s="0" t="s">
        <v>732</v>
      </c>
      <c r="Z373" s="0" t="str">
        <f aca="false">HYPERLINK("http://lutemusic.org/composers/Bach/1021_violin_sonata_GM/4_presto/bwv_1021_4_presto_B.ft3")</f>
        <v>http://lutemusic.org/composers/Bach/1021_violin_sonata_GM/4_presto/bwv_1021_4_presto_B.ft3</v>
      </c>
      <c r="AA373" s="0" t="str">
        <f aca="false">HYPERLINK("http://lutemusic.org/composers/Bach/1021_violin_sonata_GM/4_presto/pdf/bwv_1021_4_presto_B.pdf")</f>
        <v>http://lutemusic.org/composers/Bach/1021_violin_sonata_GM/4_presto/pdf/bwv_1021_4_presto_B.pdf</v>
      </c>
      <c r="AB373" s="0" t="str">
        <f aca="false">HYPERLINK("http://lutemusic.org/composers/Bach/1021_violin_sonata_GM/4_presto/midi/bwv_1021_4_presto_B.mid")</f>
        <v>http://lutemusic.org/composers/Bach/1021_violin_sonata_GM/4_presto/midi/bwv_1021_4_presto_B.mid</v>
      </c>
      <c r="AC373" s="0" t="n">
        <v>1573937407</v>
      </c>
      <c r="AD373" s="0" t="n">
        <v>1586042062</v>
      </c>
    </row>
    <row r="374" customFormat="false" ht="12.8" hidden="false" customHeight="false" outlineLevel="0" collapsed="false">
      <c r="B374" s="0" t="s">
        <v>739</v>
      </c>
      <c r="C374" s="0" t="s">
        <v>622</v>
      </c>
      <c r="E374" s="0" t="s">
        <v>622</v>
      </c>
      <c r="F374" s="0" t="s">
        <v>728</v>
      </c>
      <c r="H374" s="0" t="n">
        <v>1720</v>
      </c>
      <c r="J374" s="0" t="s">
        <v>36</v>
      </c>
      <c r="K374" s="0" t="s">
        <v>36</v>
      </c>
      <c r="P374" s="0" t="s">
        <v>729</v>
      </c>
      <c r="Q374" s="0" t="s">
        <v>739</v>
      </c>
      <c r="R374" s="0" t="s">
        <v>740</v>
      </c>
      <c r="S374" s="0" t="s">
        <v>84</v>
      </c>
      <c r="T374" s="0" t="n">
        <v>5</v>
      </c>
      <c r="U374" s="0" t="s">
        <v>731</v>
      </c>
      <c r="V374" s="0" t="s">
        <v>41</v>
      </c>
      <c r="Z374" s="0" t="str">
        <f aca="false">HYPERLINK("http://lutemusic.org/composers/Bach/1021_violin_sonata_GM/4_presto/bwv_1021_4_presto_T.ft3")</f>
        <v>http://lutemusic.org/composers/Bach/1021_violin_sonata_GM/4_presto/bwv_1021_4_presto_T.ft3</v>
      </c>
      <c r="AA374" s="0" t="str">
        <f aca="false">HYPERLINK("http://lutemusic.org/composers/Bach/1021_violin_sonata_GM/4_presto/pdf/bwv_1021_4_presto_T.pdf")</f>
        <v>http://lutemusic.org/composers/Bach/1021_violin_sonata_GM/4_presto/pdf/bwv_1021_4_presto_T.pdf</v>
      </c>
      <c r="AB374" s="0" t="str">
        <f aca="false">HYPERLINK("http://lutemusic.org/composers/Bach/1021_violin_sonata_GM/4_presto/midi/bwv_1021_4_presto_T.mid")</f>
        <v>http://lutemusic.org/composers/Bach/1021_violin_sonata_GM/4_presto/midi/bwv_1021_4_presto_T.mid</v>
      </c>
      <c r="AC374" s="0" t="n">
        <v>1573937407</v>
      </c>
      <c r="AD374" s="0" t="n">
        <v>1586042062</v>
      </c>
    </row>
    <row r="375" customFormat="false" ht="12.8" hidden="false" customHeight="false" outlineLevel="0" collapsed="false">
      <c r="B375" s="0" t="s">
        <v>739</v>
      </c>
      <c r="C375" s="0" t="s">
        <v>622</v>
      </c>
      <c r="E375" s="0" t="s">
        <v>622</v>
      </c>
      <c r="F375" s="0" t="s">
        <v>728</v>
      </c>
      <c r="H375" s="0" t="n">
        <v>1720</v>
      </c>
      <c r="J375" s="0" t="s">
        <v>36</v>
      </c>
      <c r="K375" s="0" t="s">
        <v>36</v>
      </c>
      <c r="P375" s="0" t="s">
        <v>729</v>
      </c>
      <c r="Q375" s="0" t="s">
        <v>739</v>
      </c>
      <c r="R375" s="0" t="s">
        <v>740</v>
      </c>
      <c r="S375" s="0" t="s">
        <v>84</v>
      </c>
      <c r="T375" s="0" t="n">
        <v>5</v>
      </c>
      <c r="U375" s="0" t="s">
        <v>731</v>
      </c>
      <c r="V375" s="0" t="s">
        <v>733</v>
      </c>
      <c r="Z375" s="0" t="str">
        <f aca="false">HYPERLINK("http://lutemusic.org/composers/Bach/1021_violin_sonata_GM/4_presto/bwv_1021_4_presto_VB.ft3")</f>
        <v>http://lutemusic.org/composers/Bach/1021_violin_sonata_GM/4_presto/bwv_1021_4_presto_VB.ft3</v>
      </c>
      <c r="AA375" s="0" t="str">
        <f aca="false">HYPERLINK("http://lutemusic.org/composers/Bach/1021_violin_sonata_GM/4_presto/pdf/bwv_1021_4_presto_VB.pdf")</f>
        <v>http://lutemusic.org/composers/Bach/1021_violin_sonata_GM/4_presto/pdf/bwv_1021_4_presto_VB.pdf</v>
      </c>
      <c r="AB375" s="0" t="str">
        <f aca="false">HYPERLINK("http://lutemusic.org/composers/Bach/1021_violin_sonata_GM/4_presto/midi/bwv_1021_4_presto_VB.mid")</f>
        <v>http://lutemusic.org/composers/Bach/1021_violin_sonata_GM/4_presto/midi/bwv_1021_4_presto_VB.mid</v>
      </c>
      <c r="AC375" s="0" t="n">
        <v>1573937407</v>
      </c>
      <c r="AD375" s="0" t="n">
        <v>1586042062</v>
      </c>
    </row>
    <row r="376" customFormat="false" ht="12.8" hidden="false" customHeight="false" outlineLevel="0" collapsed="false">
      <c r="B376" s="0" t="s">
        <v>739</v>
      </c>
      <c r="C376" s="0" t="s">
        <v>622</v>
      </c>
      <c r="E376" s="0" t="s">
        <v>622</v>
      </c>
      <c r="F376" s="0" t="s">
        <v>728</v>
      </c>
      <c r="H376" s="0" t="n">
        <v>1720</v>
      </c>
      <c r="J376" s="0" t="s">
        <v>36</v>
      </c>
      <c r="K376" s="0" t="s">
        <v>36</v>
      </c>
      <c r="P376" s="0" t="s">
        <v>729</v>
      </c>
      <c r="Q376" s="0" t="s">
        <v>739</v>
      </c>
      <c r="R376" s="0" t="s">
        <v>740</v>
      </c>
      <c r="S376" s="0" t="s">
        <v>84</v>
      </c>
      <c r="T376" s="0" t="n">
        <v>5</v>
      </c>
      <c r="U376" s="0" t="s">
        <v>731</v>
      </c>
      <c r="V376" s="0" t="s">
        <v>40</v>
      </c>
      <c r="Z376" s="0" t="str">
        <f aca="false">HYPERLINK("http://lutemusic.org/composers/Bach/1021_violin_sonata_GM/4_presto/bwv_1021_4_presto_VBT.ft3")</f>
        <v>http://lutemusic.org/composers/Bach/1021_violin_sonata_GM/4_presto/bwv_1021_4_presto_VBT.ft3</v>
      </c>
      <c r="AA376" s="0" t="str">
        <f aca="false">HYPERLINK("http://lutemusic.org/composers/Bach/1021_violin_sonata_GM/4_presto/pdf/bwv_1021_4_presto_VBT.pdf")</f>
        <v>http://lutemusic.org/composers/Bach/1021_violin_sonata_GM/4_presto/pdf/bwv_1021_4_presto_VBT.pdf</v>
      </c>
      <c r="AB376" s="0" t="str">
        <f aca="false">HYPERLINK("http://lutemusic.org/composers/Bach/1021_violin_sonata_GM/4_presto/midi/bwv_1021_4_presto_VBT.mid")</f>
        <v>http://lutemusic.org/composers/Bach/1021_violin_sonata_GM/4_presto/midi/bwv_1021_4_presto_VBT.mid</v>
      </c>
      <c r="AC376" s="0" t="n">
        <v>1573937407</v>
      </c>
      <c r="AD376" s="0" t="n">
        <v>1586042062</v>
      </c>
    </row>
    <row r="377" customFormat="false" ht="12.8" hidden="false" customHeight="false" outlineLevel="0" collapsed="false">
      <c r="B377" s="0" t="s">
        <v>739</v>
      </c>
      <c r="C377" s="0" t="s">
        <v>622</v>
      </c>
      <c r="E377" s="0" t="s">
        <v>622</v>
      </c>
      <c r="F377" s="0" t="s">
        <v>728</v>
      </c>
      <c r="H377" s="0" t="n">
        <v>1720</v>
      </c>
      <c r="J377" s="0" t="s">
        <v>36</v>
      </c>
      <c r="K377" s="0" t="s">
        <v>36</v>
      </c>
      <c r="P377" s="0" t="s">
        <v>729</v>
      </c>
      <c r="Q377" s="0" t="s">
        <v>739</v>
      </c>
      <c r="R377" s="0" t="s">
        <v>740</v>
      </c>
      <c r="S377" s="0" t="s">
        <v>84</v>
      </c>
      <c r="T377" s="0" t="n">
        <v>5</v>
      </c>
      <c r="U377" s="0" t="s">
        <v>731</v>
      </c>
      <c r="V377" s="0" t="s">
        <v>734</v>
      </c>
      <c r="Z377" s="0" t="str">
        <f aca="false">HYPERLINK("http://lutemusic.org/composers/Bach/1021_violin_sonata_GM/4_presto/bwv_1021_4_presto_VT.ft3")</f>
        <v>http://lutemusic.org/composers/Bach/1021_violin_sonata_GM/4_presto/bwv_1021_4_presto_VT.ft3</v>
      </c>
      <c r="AA377" s="0" t="str">
        <f aca="false">HYPERLINK("http://lutemusic.org/composers/Bach/1021_violin_sonata_GM/4_presto/pdf/bwv_1021_4_presto_VT.pdf")</f>
        <v>http://lutemusic.org/composers/Bach/1021_violin_sonata_GM/4_presto/pdf/bwv_1021_4_presto_VT.pdf</v>
      </c>
      <c r="AB377" s="0" t="str">
        <f aca="false">HYPERLINK("http://lutemusic.org/composers/Bach/1021_violin_sonata_GM/4_presto/midi/bwv_1021_4_presto_VT.mid")</f>
        <v>http://lutemusic.org/composers/Bach/1021_violin_sonata_GM/4_presto/midi/bwv_1021_4_presto_VT.mid</v>
      </c>
      <c r="AC377" s="0" t="n">
        <v>1573937407</v>
      </c>
      <c r="AD377" s="0" t="n">
        <v>1586042062</v>
      </c>
    </row>
    <row r="378" customFormat="false" ht="12.8" hidden="false" customHeight="false" outlineLevel="0" collapsed="false">
      <c r="A378" s="0" t="s">
        <v>741</v>
      </c>
      <c r="B378" s="0" t="s">
        <v>668</v>
      </c>
      <c r="C378" s="0" t="s">
        <v>622</v>
      </c>
      <c r="E378" s="0" t="s">
        <v>622</v>
      </c>
      <c r="F378" s="0" t="s">
        <v>742</v>
      </c>
      <c r="H378" s="0" t="n">
        <v>1714</v>
      </c>
      <c r="J378" s="0" t="s">
        <v>36</v>
      </c>
      <c r="K378" s="0" t="s">
        <v>36</v>
      </c>
      <c r="L378" s="0" t="s">
        <v>36</v>
      </c>
      <c r="P378" s="0" t="s">
        <v>743</v>
      </c>
      <c r="Q378" s="0" t="s">
        <v>668</v>
      </c>
      <c r="R378" s="0" t="s">
        <v>672</v>
      </c>
      <c r="S378" s="0" t="s">
        <v>424</v>
      </c>
      <c r="T378" s="0" t="n">
        <v>2</v>
      </c>
      <c r="U378" s="0" t="s">
        <v>731</v>
      </c>
      <c r="V378" s="0" t="s">
        <v>41</v>
      </c>
      <c r="Z378" s="0" t="str">
        <f aca="false">HYPERLINK("http://lutemusic.org/composers/Bach/1023_violin_sonata_Em/bwv_1023_1_prelude/bwv_1023_1_prelude_T.ft3")</f>
        <v>http://lutemusic.org/composers/Bach/1023_violin_sonata_Em/bwv_1023_1_prelude/bwv_1023_1_prelude_T.ft3</v>
      </c>
      <c r="AA378" s="0" t="str">
        <f aca="false">HYPERLINK("http://lutemusic.org/composers/Bach/1023_violin_sonata_Em/bwv_1023_1_prelude/pdf/bwv_1023_1_prelude_T.pdf")</f>
        <v>http://lutemusic.org/composers/Bach/1023_violin_sonata_Em/bwv_1023_1_prelude/pdf/bwv_1023_1_prelude_T.pdf</v>
      </c>
      <c r="AB378" s="0" t="str">
        <f aca="false">HYPERLINK("http://lutemusic.org/composers/Bach/1023_violin_sonata_Em/bwv_1023_1_prelude/midi/bwv_1023_1_prelude_T.mid")</f>
        <v>http://lutemusic.org/composers/Bach/1023_violin_sonata_Em/bwv_1023_1_prelude/midi/bwv_1023_1_prelude_T.mid</v>
      </c>
      <c r="AC378" s="0" t="n">
        <v>1573937407</v>
      </c>
      <c r="AD378" s="0" t="n">
        <v>1586042062</v>
      </c>
    </row>
    <row r="379" customFormat="false" ht="12.8" hidden="false" customHeight="false" outlineLevel="0" collapsed="false">
      <c r="A379" s="0" t="s">
        <v>741</v>
      </c>
      <c r="B379" s="0" t="s">
        <v>668</v>
      </c>
      <c r="C379" s="0" t="s">
        <v>622</v>
      </c>
      <c r="E379" s="0" t="s">
        <v>622</v>
      </c>
      <c r="F379" s="0" t="s">
        <v>742</v>
      </c>
      <c r="H379" s="0" t="n">
        <v>1714</v>
      </c>
      <c r="J379" s="0" t="s">
        <v>36</v>
      </c>
      <c r="K379" s="0" t="s">
        <v>36</v>
      </c>
      <c r="L379" s="0" t="s">
        <v>36</v>
      </c>
      <c r="P379" s="0" t="s">
        <v>743</v>
      </c>
      <c r="Q379" s="0" t="s">
        <v>668</v>
      </c>
      <c r="R379" s="0" t="s">
        <v>672</v>
      </c>
      <c r="S379" s="0" t="s">
        <v>424</v>
      </c>
      <c r="T379" s="0" t="n">
        <v>5</v>
      </c>
      <c r="U379" s="0" t="s">
        <v>731</v>
      </c>
      <c r="V379" s="0" t="s">
        <v>601</v>
      </c>
      <c r="Z379" s="0" t="str">
        <f aca="false">HYPERLINK("http://lutemusic.org/composers/Bach/1023_violin_sonata_Em/bwv_1023_1_prelude/bwv_1023_1_prelude_V.ft3")</f>
        <v>http://lutemusic.org/composers/Bach/1023_violin_sonata_Em/bwv_1023_1_prelude/bwv_1023_1_prelude_V.ft3</v>
      </c>
      <c r="AA379" s="0" t="str">
        <f aca="false">HYPERLINK("http://lutemusic.org/composers/Bach/1023_violin_sonata_Em/bwv_1023_1_prelude/pdf/bwv_1023_1_prelude_V.pdf")</f>
        <v>http://lutemusic.org/composers/Bach/1023_violin_sonata_Em/bwv_1023_1_prelude/pdf/bwv_1023_1_prelude_V.pdf</v>
      </c>
      <c r="AB379" s="0" t="str">
        <f aca="false">HYPERLINK("http://lutemusic.org/composers/Bach/1023_violin_sonata_Em/bwv_1023_1_prelude/midi/bwv_1023_1_prelude_V.mid")</f>
        <v>http://lutemusic.org/composers/Bach/1023_violin_sonata_Em/bwv_1023_1_prelude/midi/bwv_1023_1_prelude_V.mid</v>
      </c>
      <c r="AC379" s="0" t="n">
        <v>1573937407</v>
      </c>
      <c r="AD379" s="0" t="n">
        <v>1586042062</v>
      </c>
    </row>
    <row r="380" customFormat="false" ht="12.8" hidden="false" customHeight="false" outlineLevel="0" collapsed="false">
      <c r="A380" s="0" t="s">
        <v>741</v>
      </c>
      <c r="B380" s="0" t="s">
        <v>668</v>
      </c>
      <c r="C380" s="0" t="s">
        <v>622</v>
      </c>
      <c r="E380" s="0" t="s">
        <v>622</v>
      </c>
      <c r="F380" s="0" t="s">
        <v>742</v>
      </c>
      <c r="H380" s="0" t="n">
        <v>1714</v>
      </c>
      <c r="J380" s="0" t="s">
        <v>36</v>
      </c>
      <c r="K380" s="0" t="s">
        <v>36</v>
      </c>
      <c r="L380" s="0" t="s">
        <v>36</v>
      </c>
      <c r="P380" s="0" t="s">
        <v>743</v>
      </c>
      <c r="Q380" s="0" t="s">
        <v>668</v>
      </c>
      <c r="R380" s="0" t="s">
        <v>672</v>
      </c>
      <c r="S380" s="0" t="s">
        <v>424</v>
      </c>
      <c r="T380" s="0" t="n">
        <v>2</v>
      </c>
      <c r="U380" s="0" t="s">
        <v>731</v>
      </c>
      <c r="V380" s="0" t="s">
        <v>733</v>
      </c>
      <c r="Z380" s="0" t="str">
        <f aca="false">HYPERLINK("http://lutemusic.org/composers/Bach/1023_violin_sonata_Em/bwv_1023_1_prelude/bwv_1023_1_prelude_VB.ft3")</f>
        <v>http://lutemusic.org/composers/Bach/1023_violin_sonata_Em/bwv_1023_1_prelude/bwv_1023_1_prelude_VB.ft3</v>
      </c>
      <c r="AA380" s="0" t="str">
        <f aca="false">HYPERLINK("http://lutemusic.org/composers/Bach/1023_violin_sonata_Em/bwv_1023_1_prelude/pdf/bwv_1023_1_prelude_VB.pdf")</f>
        <v>http://lutemusic.org/composers/Bach/1023_violin_sonata_Em/bwv_1023_1_prelude/pdf/bwv_1023_1_prelude_VB.pdf</v>
      </c>
      <c r="AB380" s="0" t="str">
        <f aca="false">HYPERLINK("http://lutemusic.org/composers/Bach/1023_violin_sonata_Em/bwv_1023_1_prelude/midi/bwv_1023_1_prelude_VB.mid")</f>
        <v>http://lutemusic.org/composers/Bach/1023_violin_sonata_Em/bwv_1023_1_prelude/midi/bwv_1023_1_prelude_VB.mid</v>
      </c>
      <c r="AC380" s="0" t="n">
        <v>1573937407</v>
      </c>
      <c r="AD380" s="0" t="n">
        <v>1586042062</v>
      </c>
    </row>
    <row r="381" customFormat="false" ht="12.8" hidden="false" customHeight="false" outlineLevel="0" collapsed="false">
      <c r="A381" s="0" t="s">
        <v>741</v>
      </c>
      <c r="B381" s="0" t="s">
        <v>668</v>
      </c>
      <c r="C381" s="0" t="s">
        <v>622</v>
      </c>
      <c r="E381" s="0" t="s">
        <v>622</v>
      </c>
      <c r="F381" s="0" t="s">
        <v>742</v>
      </c>
      <c r="H381" s="0" t="n">
        <v>1714</v>
      </c>
      <c r="J381" s="0" t="s">
        <v>36</v>
      </c>
      <c r="K381" s="0" t="s">
        <v>36</v>
      </c>
      <c r="L381" s="0" t="s">
        <v>36</v>
      </c>
      <c r="P381" s="0" t="s">
        <v>743</v>
      </c>
      <c r="Q381" s="0" t="s">
        <v>668</v>
      </c>
      <c r="R381" s="0" t="s">
        <v>672</v>
      </c>
      <c r="S381" s="0" t="s">
        <v>424</v>
      </c>
      <c r="T381" s="0" t="n">
        <v>2</v>
      </c>
      <c r="U381" s="0" t="s">
        <v>731</v>
      </c>
      <c r="V381" s="0" t="s">
        <v>40</v>
      </c>
      <c r="Z381" s="0" t="str">
        <f aca="false">HYPERLINK("http://lutemusic.org/composers/Bach/1023_violin_sonata_Em/bwv_1023_1_prelude/bwv_1023_1_prelude_VBT.ft3")</f>
        <v>http://lutemusic.org/composers/Bach/1023_violin_sonata_Em/bwv_1023_1_prelude/bwv_1023_1_prelude_VBT.ft3</v>
      </c>
      <c r="AA381" s="0" t="str">
        <f aca="false">HYPERLINK("http://lutemusic.org/composers/Bach/1023_violin_sonata_Em/bwv_1023_1_prelude/pdf/bwv_1023_1_prelude_VBT.pdf")</f>
        <v>http://lutemusic.org/composers/Bach/1023_violin_sonata_Em/bwv_1023_1_prelude/pdf/bwv_1023_1_prelude_VBT.pdf</v>
      </c>
      <c r="AB381" s="0" t="str">
        <f aca="false">HYPERLINK("http://lutemusic.org/composers/Bach/1023_violin_sonata_Em/bwv_1023_1_prelude/midi/bwv_1023_1_prelude_VBT.mid")</f>
        <v>http://lutemusic.org/composers/Bach/1023_violin_sonata_Em/bwv_1023_1_prelude/midi/bwv_1023_1_prelude_VBT.mid</v>
      </c>
      <c r="AC381" s="0" t="n">
        <v>1573937407</v>
      </c>
      <c r="AD381" s="0" t="n">
        <v>1586042062</v>
      </c>
    </row>
    <row r="382" customFormat="false" ht="12.8" hidden="false" customHeight="false" outlineLevel="0" collapsed="false">
      <c r="A382" s="0" t="s">
        <v>741</v>
      </c>
      <c r="B382" s="0" t="s">
        <v>668</v>
      </c>
      <c r="C382" s="0" t="s">
        <v>622</v>
      </c>
      <c r="E382" s="0" t="s">
        <v>622</v>
      </c>
      <c r="F382" s="0" t="s">
        <v>742</v>
      </c>
      <c r="H382" s="0" t="n">
        <v>1714</v>
      </c>
      <c r="J382" s="0" t="s">
        <v>36</v>
      </c>
      <c r="K382" s="0" t="s">
        <v>36</v>
      </c>
      <c r="L382" s="0" t="s">
        <v>36</v>
      </c>
      <c r="P382" s="0" t="s">
        <v>743</v>
      </c>
      <c r="Q382" s="0" t="s">
        <v>668</v>
      </c>
      <c r="R382" s="0" t="s">
        <v>672</v>
      </c>
      <c r="S382" s="0" t="s">
        <v>424</v>
      </c>
      <c r="T382" s="0" t="n">
        <v>2</v>
      </c>
      <c r="U382" s="0" t="s">
        <v>731</v>
      </c>
      <c r="V382" s="0" t="s">
        <v>734</v>
      </c>
      <c r="Z382" s="0" t="str">
        <f aca="false">HYPERLINK("http://lutemusic.org/composers/Bach/1023_violin_sonata_Em/bwv_1023_1_prelude/bwv_1023_1_prelude_VT.ft3")</f>
        <v>http://lutemusic.org/composers/Bach/1023_violin_sonata_Em/bwv_1023_1_prelude/bwv_1023_1_prelude_VT.ft3</v>
      </c>
      <c r="AA382" s="0" t="str">
        <f aca="false">HYPERLINK("http://lutemusic.org/composers/Bach/1023_violin_sonata_Em/bwv_1023_1_prelude/pdf/bwv_1023_1_prelude_VT.pdf")</f>
        <v>http://lutemusic.org/composers/Bach/1023_violin_sonata_Em/bwv_1023_1_prelude/pdf/bwv_1023_1_prelude_VT.pdf</v>
      </c>
      <c r="AB382" s="0" t="str">
        <f aca="false">HYPERLINK("http://lutemusic.org/composers/Bach/1023_violin_sonata_Em/bwv_1023_1_prelude/midi/bwv_1023_1_prelude_VT.mid")</f>
        <v>http://lutemusic.org/composers/Bach/1023_violin_sonata_Em/bwv_1023_1_prelude/midi/bwv_1023_1_prelude_VT.mid</v>
      </c>
      <c r="AC382" s="0" t="n">
        <v>1573937407</v>
      </c>
      <c r="AD382" s="0" t="n">
        <v>1586042062</v>
      </c>
    </row>
    <row r="383" customFormat="false" ht="12.8" hidden="false" customHeight="false" outlineLevel="0" collapsed="false">
      <c r="B383" s="0" t="s">
        <v>744</v>
      </c>
      <c r="C383" s="0" t="s">
        <v>622</v>
      </c>
      <c r="E383" s="0" t="s">
        <v>622</v>
      </c>
      <c r="F383" s="0" t="s">
        <v>742</v>
      </c>
      <c r="H383" s="0" t="n">
        <v>1714</v>
      </c>
      <c r="J383" s="0" t="s">
        <v>36</v>
      </c>
      <c r="K383" s="0" t="s">
        <v>36</v>
      </c>
      <c r="L383" s="0" t="s">
        <v>36</v>
      </c>
      <c r="P383" s="0" t="s">
        <v>743</v>
      </c>
      <c r="Q383" s="0" t="s">
        <v>744</v>
      </c>
      <c r="R383" s="0" t="s">
        <v>745</v>
      </c>
      <c r="S383" s="0" t="s">
        <v>424</v>
      </c>
      <c r="T383" s="0" t="n">
        <v>5</v>
      </c>
      <c r="U383" s="0" t="s">
        <v>731</v>
      </c>
      <c r="V383" s="0" t="s">
        <v>733</v>
      </c>
      <c r="Z383" s="0" t="str">
        <f aca="false">HYPERLINK("http://lutemusic.org/composers/Bach/1023_violin_sonata_Em/bwv_1023_2_adagio/bwv_1023_2_adagio_B.ft3")</f>
        <v>http://lutemusic.org/composers/Bach/1023_violin_sonata_Em/bwv_1023_2_adagio/bwv_1023_2_adagio_B.ft3</v>
      </c>
      <c r="AA383" s="0" t="str">
        <f aca="false">HYPERLINK("http://lutemusic.org/composers/Bach/1023_violin_sonata_Em/bwv_1023_2_adagio/pdf/bwv_1023_2_adagio_B.pdf")</f>
        <v>http://lutemusic.org/composers/Bach/1023_violin_sonata_Em/bwv_1023_2_adagio/pdf/bwv_1023_2_adagio_B.pdf</v>
      </c>
      <c r="AB383" s="0" t="str">
        <f aca="false">HYPERLINK("http://lutemusic.org/composers/Bach/1023_violin_sonata_Em/bwv_1023_2_adagio/midi/bwv_1023_2_adagio_B.mid")</f>
        <v>http://lutemusic.org/composers/Bach/1023_violin_sonata_Em/bwv_1023_2_adagio/midi/bwv_1023_2_adagio_B.mid</v>
      </c>
      <c r="AC383" s="0" t="n">
        <v>1573937407</v>
      </c>
      <c r="AD383" s="0" t="n">
        <v>1586042062</v>
      </c>
    </row>
    <row r="384" customFormat="false" ht="12.8" hidden="false" customHeight="false" outlineLevel="0" collapsed="false">
      <c r="B384" s="0" t="s">
        <v>744</v>
      </c>
      <c r="C384" s="0" t="s">
        <v>622</v>
      </c>
      <c r="E384" s="0" t="s">
        <v>622</v>
      </c>
      <c r="F384" s="0" t="s">
        <v>742</v>
      </c>
      <c r="H384" s="0" t="n">
        <v>1714</v>
      </c>
      <c r="J384" s="0" t="s">
        <v>36</v>
      </c>
      <c r="K384" s="0" t="s">
        <v>36</v>
      </c>
      <c r="L384" s="0" t="s">
        <v>36</v>
      </c>
      <c r="P384" s="0" t="s">
        <v>743</v>
      </c>
      <c r="Q384" s="0" t="s">
        <v>744</v>
      </c>
      <c r="R384" s="0" t="s">
        <v>745</v>
      </c>
      <c r="S384" s="0" t="s">
        <v>424</v>
      </c>
      <c r="T384" s="0" t="n">
        <v>5</v>
      </c>
      <c r="U384" s="0" t="s">
        <v>731</v>
      </c>
      <c r="V384" s="0" t="s">
        <v>41</v>
      </c>
      <c r="Z384" s="0" t="str">
        <f aca="false">HYPERLINK("http://lutemusic.org/composers/Bach/1023_violin_sonata_Em/bwv_1023_2_adagio/bwv_1023_2_adagio_T.ft3")</f>
        <v>http://lutemusic.org/composers/Bach/1023_violin_sonata_Em/bwv_1023_2_adagio/bwv_1023_2_adagio_T.ft3</v>
      </c>
      <c r="AA384" s="0" t="str">
        <f aca="false">HYPERLINK("http://lutemusic.org/composers/Bach/1023_violin_sonata_Em/bwv_1023_2_adagio/pdf/bwv_1023_2_adagio_T.pdf")</f>
        <v>http://lutemusic.org/composers/Bach/1023_violin_sonata_Em/bwv_1023_2_adagio/pdf/bwv_1023_2_adagio_T.pdf</v>
      </c>
      <c r="AB384" s="0" t="str">
        <f aca="false">HYPERLINK("http://lutemusic.org/composers/Bach/1023_violin_sonata_Em/bwv_1023_2_adagio/midi/bwv_1023_2_adagio_T.mid")</f>
        <v>http://lutemusic.org/composers/Bach/1023_violin_sonata_Em/bwv_1023_2_adagio/midi/bwv_1023_2_adagio_T.mid</v>
      </c>
      <c r="AC384" s="0" t="n">
        <v>1573937407</v>
      </c>
      <c r="AD384" s="0" t="n">
        <v>1586042062</v>
      </c>
    </row>
    <row r="385" customFormat="false" ht="12.8" hidden="false" customHeight="false" outlineLevel="0" collapsed="false">
      <c r="B385" s="0" t="s">
        <v>744</v>
      </c>
      <c r="C385" s="0" t="s">
        <v>622</v>
      </c>
      <c r="E385" s="0" t="s">
        <v>622</v>
      </c>
      <c r="F385" s="0" t="s">
        <v>742</v>
      </c>
      <c r="H385" s="0" t="n">
        <v>1714</v>
      </c>
      <c r="J385" s="0" t="s">
        <v>36</v>
      </c>
      <c r="K385" s="0" t="s">
        <v>36</v>
      </c>
      <c r="L385" s="0" t="s">
        <v>36</v>
      </c>
      <c r="P385" s="0" t="s">
        <v>743</v>
      </c>
      <c r="Q385" s="0" t="s">
        <v>744</v>
      </c>
      <c r="R385" s="0" t="s">
        <v>745</v>
      </c>
      <c r="S385" s="0" t="s">
        <v>424</v>
      </c>
      <c r="T385" s="0" t="n">
        <v>5</v>
      </c>
      <c r="U385" s="0" t="s">
        <v>731</v>
      </c>
      <c r="V385" s="0" t="s">
        <v>732</v>
      </c>
      <c r="Z385" s="0" t="str">
        <f aca="false">HYPERLINK("http://lutemusic.org/composers/Bach/1023_violin_sonata_Em/bwv_1023_2_adagio/bwv_1023_2_adagio_V.ft3")</f>
        <v>http://lutemusic.org/composers/Bach/1023_violin_sonata_Em/bwv_1023_2_adagio/bwv_1023_2_adagio_V.ft3</v>
      </c>
      <c r="AA385" s="0" t="str">
        <f aca="false">HYPERLINK("http://lutemusic.org/composers/Bach/1023_violin_sonata_Em/bwv_1023_2_adagio/pdf/bwv_1023_2_adagio_V.pdf")</f>
        <v>http://lutemusic.org/composers/Bach/1023_violin_sonata_Em/bwv_1023_2_adagio/pdf/bwv_1023_2_adagio_V.pdf</v>
      </c>
      <c r="AB385" s="0" t="str">
        <f aca="false">HYPERLINK("http://lutemusic.org/composers/Bach/1023_violin_sonata_Em/bwv_1023_2_adagio/midi/bwv_1023_2_adagio_V.mid")</f>
        <v>http://lutemusic.org/composers/Bach/1023_violin_sonata_Em/bwv_1023_2_adagio/midi/bwv_1023_2_adagio_V.mid</v>
      </c>
      <c r="AC385" s="0" t="n">
        <v>1573937407</v>
      </c>
      <c r="AD385" s="0" t="n">
        <v>1586042062</v>
      </c>
    </row>
    <row r="386" customFormat="false" ht="12.8" hidden="false" customHeight="false" outlineLevel="0" collapsed="false">
      <c r="B386" s="0" t="s">
        <v>744</v>
      </c>
      <c r="C386" s="0" t="s">
        <v>622</v>
      </c>
      <c r="E386" s="0" t="s">
        <v>622</v>
      </c>
      <c r="F386" s="0" t="s">
        <v>742</v>
      </c>
      <c r="H386" s="0" t="n">
        <v>1714</v>
      </c>
      <c r="J386" s="0" t="s">
        <v>36</v>
      </c>
      <c r="K386" s="0" t="s">
        <v>36</v>
      </c>
      <c r="L386" s="0" t="s">
        <v>36</v>
      </c>
      <c r="P386" s="0" t="s">
        <v>743</v>
      </c>
      <c r="Q386" s="0" t="s">
        <v>744</v>
      </c>
      <c r="R386" s="0" t="s">
        <v>745</v>
      </c>
      <c r="S386" s="0" t="s">
        <v>424</v>
      </c>
      <c r="T386" s="0" t="n">
        <v>5</v>
      </c>
      <c r="U386" s="0" t="s">
        <v>731</v>
      </c>
      <c r="V386" s="0" t="s">
        <v>733</v>
      </c>
      <c r="Z386" s="0" t="str">
        <f aca="false">HYPERLINK("http://lutemusic.org/composers/Bach/1023_violin_sonata_Em/bwv_1023_2_adagio/bwv_1023_2_adagio_VB.ft3")</f>
        <v>http://lutemusic.org/composers/Bach/1023_violin_sonata_Em/bwv_1023_2_adagio/bwv_1023_2_adagio_VB.ft3</v>
      </c>
      <c r="AA386" s="0" t="str">
        <f aca="false">HYPERLINK("http://lutemusic.org/composers/Bach/1023_violin_sonata_Em/bwv_1023_2_adagio/pdf/bwv_1023_2_adagio_VB.pdf")</f>
        <v>http://lutemusic.org/composers/Bach/1023_violin_sonata_Em/bwv_1023_2_adagio/pdf/bwv_1023_2_adagio_VB.pdf</v>
      </c>
      <c r="AB386" s="0" t="str">
        <f aca="false">HYPERLINK("http://lutemusic.org/composers/Bach/1023_violin_sonata_Em/bwv_1023_2_adagio/midi/bwv_1023_2_adagio_VB.mid")</f>
        <v>http://lutemusic.org/composers/Bach/1023_violin_sonata_Em/bwv_1023_2_adagio/midi/bwv_1023_2_adagio_VB.mid</v>
      </c>
      <c r="AC386" s="0" t="n">
        <v>1573937407</v>
      </c>
      <c r="AD386" s="0" t="n">
        <v>1586042062</v>
      </c>
    </row>
    <row r="387" customFormat="false" ht="12.8" hidden="false" customHeight="false" outlineLevel="0" collapsed="false">
      <c r="B387" s="0" t="s">
        <v>744</v>
      </c>
      <c r="C387" s="0" t="s">
        <v>622</v>
      </c>
      <c r="E387" s="0" t="s">
        <v>622</v>
      </c>
      <c r="F387" s="0" t="s">
        <v>742</v>
      </c>
      <c r="H387" s="0" t="n">
        <v>1714</v>
      </c>
      <c r="J387" s="0" t="s">
        <v>36</v>
      </c>
      <c r="K387" s="0" t="s">
        <v>36</v>
      </c>
      <c r="L387" s="0" t="s">
        <v>36</v>
      </c>
      <c r="P387" s="0" t="s">
        <v>743</v>
      </c>
      <c r="Q387" s="0" t="s">
        <v>744</v>
      </c>
      <c r="R387" s="0" t="s">
        <v>745</v>
      </c>
      <c r="S387" s="0" t="s">
        <v>424</v>
      </c>
      <c r="T387" s="0" t="n">
        <v>5</v>
      </c>
      <c r="U387" s="0" t="s">
        <v>731</v>
      </c>
      <c r="V387" s="0" t="s">
        <v>40</v>
      </c>
      <c r="Z387" s="0" t="str">
        <f aca="false">HYPERLINK("http://lutemusic.org/composers/Bach/1023_violin_sonata_Em/bwv_1023_2_adagio/bwv_1023_2_adagio_VBT.ft3")</f>
        <v>http://lutemusic.org/composers/Bach/1023_violin_sonata_Em/bwv_1023_2_adagio/bwv_1023_2_adagio_VBT.ft3</v>
      </c>
      <c r="AA387" s="0" t="str">
        <f aca="false">HYPERLINK("http://lutemusic.org/composers/Bach/1023_violin_sonata_Em/bwv_1023_2_adagio/pdf/bwv_1023_2_adagio_VBT.pdf")</f>
        <v>http://lutemusic.org/composers/Bach/1023_violin_sonata_Em/bwv_1023_2_adagio/pdf/bwv_1023_2_adagio_VBT.pdf</v>
      </c>
      <c r="AB387" s="0" t="str">
        <f aca="false">HYPERLINK("http://lutemusic.org/composers/Bach/1023_violin_sonata_Em/bwv_1023_2_adagio/midi/bwv_1023_2_adagio_VBT.mid")</f>
        <v>http://lutemusic.org/composers/Bach/1023_violin_sonata_Em/bwv_1023_2_adagio/midi/bwv_1023_2_adagio_VBT.mid</v>
      </c>
      <c r="AC387" s="0" t="n">
        <v>1573937407</v>
      </c>
      <c r="AD387" s="0" t="n">
        <v>1586042062</v>
      </c>
    </row>
    <row r="388" customFormat="false" ht="12.8" hidden="false" customHeight="false" outlineLevel="0" collapsed="false">
      <c r="B388" s="0" t="s">
        <v>744</v>
      </c>
      <c r="C388" s="0" t="s">
        <v>622</v>
      </c>
      <c r="E388" s="0" t="s">
        <v>622</v>
      </c>
      <c r="F388" s="0" t="s">
        <v>742</v>
      </c>
      <c r="H388" s="0" t="n">
        <v>1714</v>
      </c>
      <c r="J388" s="0" t="s">
        <v>36</v>
      </c>
      <c r="K388" s="0" t="s">
        <v>36</v>
      </c>
      <c r="L388" s="0" t="s">
        <v>36</v>
      </c>
      <c r="P388" s="0" t="s">
        <v>743</v>
      </c>
      <c r="Q388" s="0" t="s">
        <v>744</v>
      </c>
      <c r="R388" s="0" t="s">
        <v>745</v>
      </c>
      <c r="S388" s="0" t="s">
        <v>424</v>
      </c>
      <c r="T388" s="0" t="n">
        <v>5</v>
      </c>
      <c r="U388" s="0" t="s">
        <v>731</v>
      </c>
      <c r="V388" s="0" t="s">
        <v>734</v>
      </c>
      <c r="Z388" s="0" t="str">
        <f aca="false">HYPERLINK("http://lutemusic.org/composers/Bach/1023_violin_sonata_Em/bwv_1023_2_adagio/bwv_1023_2_adagio_VT.ft3")</f>
        <v>http://lutemusic.org/composers/Bach/1023_violin_sonata_Em/bwv_1023_2_adagio/bwv_1023_2_adagio_VT.ft3</v>
      </c>
      <c r="AA388" s="0" t="str">
        <f aca="false">HYPERLINK("http://lutemusic.org/composers/Bach/1023_violin_sonata_Em/bwv_1023_2_adagio/pdf/bwv_1023_2_adagio_VT.pdf")</f>
        <v>http://lutemusic.org/composers/Bach/1023_violin_sonata_Em/bwv_1023_2_adagio/pdf/bwv_1023_2_adagio_VT.pdf</v>
      </c>
      <c r="AB388" s="0" t="str">
        <f aca="false">HYPERLINK("http://lutemusic.org/composers/Bach/1023_violin_sonata_Em/bwv_1023_2_adagio/midi/bwv_1023_2_adagio_VT.mid")</f>
        <v>http://lutemusic.org/composers/Bach/1023_violin_sonata_Em/bwv_1023_2_adagio/midi/bwv_1023_2_adagio_VT.mid</v>
      </c>
      <c r="AC388" s="0" t="n">
        <v>1573937407</v>
      </c>
      <c r="AD388" s="0" t="n">
        <v>1586042062</v>
      </c>
    </row>
    <row r="389" customFormat="false" ht="12.8" hidden="false" customHeight="false" outlineLevel="0" collapsed="false">
      <c r="B389" s="0" t="s">
        <v>746</v>
      </c>
      <c r="C389" s="0" t="s">
        <v>622</v>
      </c>
      <c r="E389" s="0" t="s">
        <v>622</v>
      </c>
      <c r="F389" s="0" t="s">
        <v>742</v>
      </c>
      <c r="H389" s="0" t="n">
        <v>1714</v>
      </c>
      <c r="J389" s="0" t="s">
        <v>36</v>
      </c>
      <c r="K389" s="0" t="s">
        <v>36</v>
      </c>
      <c r="L389" s="0" t="s">
        <v>36</v>
      </c>
      <c r="P389" s="0" t="s">
        <v>743</v>
      </c>
      <c r="Q389" s="0" t="s">
        <v>746</v>
      </c>
      <c r="R389" s="0" t="s">
        <v>234</v>
      </c>
      <c r="S389" s="0" t="s">
        <v>424</v>
      </c>
      <c r="T389" s="0" t="n">
        <v>5</v>
      </c>
      <c r="U389" s="0" t="s">
        <v>731</v>
      </c>
      <c r="V389" s="0" t="s">
        <v>732</v>
      </c>
      <c r="Z389" s="0" t="str">
        <f aca="false">HYPERLINK("http://lutemusic.org/composers/Bach/1023_violin_sonata_Em/bwv_1023_3_allemande/bwv_1023_3_allemande_B.ft3")</f>
        <v>http://lutemusic.org/composers/Bach/1023_violin_sonata_Em/bwv_1023_3_allemande/bwv_1023_3_allemande_B.ft3</v>
      </c>
      <c r="AA389" s="0" t="str">
        <f aca="false">HYPERLINK("http://lutemusic.org/composers/Bach/1023_violin_sonata_Em/bwv_1023_3_allemande/pdf/bwv_1023_3_allemande_B.pdf")</f>
        <v>http://lutemusic.org/composers/Bach/1023_violin_sonata_Em/bwv_1023_3_allemande/pdf/bwv_1023_3_allemande_B.pdf</v>
      </c>
      <c r="AB389" s="0" t="str">
        <f aca="false">HYPERLINK("http://lutemusic.org/composers/Bach/1023_violin_sonata_Em/bwv_1023_3_allemande/midi/bwv_1023_3_allemande_B.mid")</f>
        <v>http://lutemusic.org/composers/Bach/1023_violin_sonata_Em/bwv_1023_3_allemande/midi/bwv_1023_3_allemande_B.mid</v>
      </c>
      <c r="AC389" s="0" t="n">
        <v>1573937407</v>
      </c>
      <c r="AD389" s="0" t="n">
        <v>1586042062</v>
      </c>
    </row>
    <row r="390" customFormat="false" ht="12.8" hidden="false" customHeight="false" outlineLevel="0" collapsed="false">
      <c r="B390" s="0" t="s">
        <v>746</v>
      </c>
      <c r="C390" s="0" t="s">
        <v>622</v>
      </c>
      <c r="E390" s="0" t="s">
        <v>622</v>
      </c>
      <c r="F390" s="0" t="s">
        <v>742</v>
      </c>
      <c r="H390" s="0" t="n">
        <v>1714</v>
      </c>
      <c r="J390" s="0" t="s">
        <v>36</v>
      </c>
      <c r="K390" s="0" t="s">
        <v>36</v>
      </c>
      <c r="L390" s="0" t="s">
        <v>36</v>
      </c>
      <c r="P390" s="0" t="s">
        <v>743</v>
      </c>
      <c r="Q390" s="0" t="s">
        <v>746</v>
      </c>
      <c r="R390" s="0" t="s">
        <v>234</v>
      </c>
      <c r="S390" s="0" t="s">
        <v>424</v>
      </c>
      <c r="T390" s="0" t="n">
        <v>5</v>
      </c>
      <c r="U390" s="0" t="s">
        <v>731</v>
      </c>
      <c r="V390" s="0" t="s">
        <v>41</v>
      </c>
      <c r="Z390" s="0" t="str">
        <f aca="false">HYPERLINK("http://lutemusic.org/composers/Bach/1023_violin_sonata_Em/bwv_1023_3_allemande/bwv_1023_3_allemande_T.ft3")</f>
        <v>http://lutemusic.org/composers/Bach/1023_violin_sonata_Em/bwv_1023_3_allemande/bwv_1023_3_allemande_T.ft3</v>
      </c>
      <c r="AA390" s="0" t="str">
        <f aca="false">HYPERLINK("http://lutemusic.org/composers/Bach/1023_violin_sonata_Em/bwv_1023_3_allemande/pdf/bwv_1023_3_allemande_T.pdf")</f>
        <v>http://lutemusic.org/composers/Bach/1023_violin_sonata_Em/bwv_1023_3_allemande/pdf/bwv_1023_3_allemande_T.pdf</v>
      </c>
      <c r="AB390" s="0" t="str">
        <f aca="false">HYPERLINK("http://lutemusic.org/composers/Bach/1023_violin_sonata_Em/bwv_1023_3_allemande/midi/bwv_1023_3_allemande_T.mid")</f>
        <v>http://lutemusic.org/composers/Bach/1023_violin_sonata_Em/bwv_1023_3_allemande/midi/bwv_1023_3_allemande_T.mid</v>
      </c>
      <c r="AC390" s="0" t="n">
        <v>1573937407</v>
      </c>
      <c r="AD390" s="0" t="n">
        <v>1586042062</v>
      </c>
    </row>
    <row r="391" customFormat="false" ht="12.8" hidden="false" customHeight="false" outlineLevel="0" collapsed="false">
      <c r="B391" s="0" t="s">
        <v>746</v>
      </c>
      <c r="C391" s="0" t="s">
        <v>622</v>
      </c>
      <c r="E391" s="0" t="s">
        <v>622</v>
      </c>
      <c r="F391" s="0" t="s">
        <v>742</v>
      </c>
      <c r="H391" s="0" t="n">
        <v>1714</v>
      </c>
      <c r="J391" s="0" t="s">
        <v>36</v>
      </c>
      <c r="K391" s="0" t="s">
        <v>36</v>
      </c>
      <c r="L391" s="0" t="s">
        <v>36</v>
      </c>
      <c r="P391" s="0" t="s">
        <v>743</v>
      </c>
      <c r="Q391" s="0" t="s">
        <v>746</v>
      </c>
      <c r="R391" s="0" t="s">
        <v>234</v>
      </c>
      <c r="S391" s="0" t="s">
        <v>424</v>
      </c>
      <c r="T391" s="0" t="n">
        <v>3</v>
      </c>
      <c r="U391" s="0" t="s">
        <v>731</v>
      </c>
      <c r="V391" s="0" t="s">
        <v>601</v>
      </c>
      <c r="Z391" s="0" t="str">
        <f aca="false">HYPERLINK("http://lutemusic.org/composers/Bach/1023_violin_sonata_Em/bwv_1023_3_allemande/bwv_1023_3_allemande_V.ft3")</f>
        <v>http://lutemusic.org/composers/Bach/1023_violin_sonata_Em/bwv_1023_3_allemande/bwv_1023_3_allemande_V.ft3</v>
      </c>
      <c r="AA391" s="0" t="str">
        <f aca="false">HYPERLINK("http://lutemusic.org/composers/Bach/1023_violin_sonata_Em/bwv_1023_3_allemande/pdf/bwv_1023_3_allemande_V.pdf")</f>
        <v>http://lutemusic.org/composers/Bach/1023_violin_sonata_Em/bwv_1023_3_allemande/pdf/bwv_1023_3_allemande_V.pdf</v>
      </c>
      <c r="AB391" s="0" t="str">
        <f aca="false">HYPERLINK("http://lutemusic.org/composers/Bach/1023_violin_sonata_Em/bwv_1023_3_allemande/midi/bwv_1023_3_allemande_V.mid")</f>
        <v>http://lutemusic.org/composers/Bach/1023_violin_sonata_Em/bwv_1023_3_allemande/midi/bwv_1023_3_allemande_V.mid</v>
      </c>
      <c r="AC391" s="0" t="n">
        <v>1573937407</v>
      </c>
      <c r="AD391" s="0" t="n">
        <v>1586042062</v>
      </c>
    </row>
    <row r="392" customFormat="false" ht="12.8" hidden="false" customHeight="false" outlineLevel="0" collapsed="false">
      <c r="B392" s="0" t="s">
        <v>746</v>
      </c>
      <c r="C392" s="0" t="s">
        <v>622</v>
      </c>
      <c r="E392" s="0" t="s">
        <v>622</v>
      </c>
      <c r="F392" s="0" t="s">
        <v>742</v>
      </c>
      <c r="H392" s="0" t="n">
        <v>1714</v>
      </c>
      <c r="J392" s="0" t="s">
        <v>36</v>
      </c>
      <c r="K392" s="0" t="s">
        <v>36</v>
      </c>
      <c r="L392" s="0" t="s">
        <v>36</v>
      </c>
      <c r="P392" s="0" t="s">
        <v>743</v>
      </c>
      <c r="Q392" s="0" t="s">
        <v>746</v>
      </c>
      <c r="R392" s="0" t="s">
        <v>234</v>
      </c>
      <c r="S392" s="0" t="s">
        <v>424</v>
      </c>
      <c r="T392" s="0" t="n">
        <v>5</v>
      </c>
      <c r="U392" s="0" t="s">
        <v>731</v>
      </c>
      <c r="V392" s="0" t="s">
        <v>733</v>
      </c>
      <c r="Z392" s="0" t="str">
        <f aca="false">HYPERLINK("http://lutemusic.org/composers/Bach/1023_violin_sonata_Em/bwv_1023_3_allemande/bwv_1023_3_allemande_VB.ft3")</f>
        <v>http://lutemusic.org/composers/Bach/1023_violin_sonata_Em/bwv_1023_3_allemande/bwv_1023_3_allemande_VB.ft3</v>
      </c>
      <c r="AA392" s="0" t="str">
        <f aca="false">HYPERLINK("http://lutemusic.org/composers/Bach/1023_violin_sonata_Em/bwv_1023_3_allemande/pdf/bwv_1023_3_allemande_VB.pdf")</f>
        <v>http://lutemusic.org/composers/Bach/1023_violin_sonata_Em/bwv_1023_3_allemande/pdf/bwv_1023_3_allemande_VB.pdf</v>
      </c>
      <c r="AB392" s="0" t="str">
        <f aca="false">HYPERLINK("http://lutemusic.org/composers/Bach/1023_violin_sonata_Em/bwv_1023_3_allemande/midi/bwv_1023_3_allemande_VB.mid")</f>
        <v>http://lutemusic.org/composers/Bach/1023_violin_sonata_Em/bwv_1023_3_allemande/midi/bwv_1023_3_allemande_VB.mid</v>
      </c>
      <c r="AC392" s="0" t="n">
        <v>1573937407</v>
      </c>
      <c r="AD392" s="0" t="n">
        <v>1586042062</v>
      </c>
    </row>
    <row r="393" customFormat="false" ht="12.8" hidden="false" customHeight="false" outlineLevel="0" collapsed="false">
      <c r="B393" s="0" t="s">
        <v>746</v>
      </c>
      <c r="C393" s="0" t="s">
        <v>622</v>
      </c>
      <c r="E393" s="0" t="s">
        <v>622</v>
      </c>
      <c r="F393" s="0" t="s">
        <v>742</v>
      </c>
      <c r="H393" s="0" t="n">
        <v>1714</v>
      </c>
      <c r="J393" s="0" t="s">
        <v>36</v>
      </c>
      <c r="K393" s="0" t="s">
        <v>36</v>
      </c>
      <c r="L393" s="0" t="s">
        <v>36</v>
      </c>
      <c r="P393" s="0" t="s">
        <v>743</v>
      </c>
      <c r="Q393" s="0" t="s">
        <v>746</v>
      </c>
      <c r="R393" s="0" t="s">
        <v>234</v>
      </c>
      <c r="S393" s="0" t="s">
        <v>424</v>
      </c>
      <c r="T393" s="0" t="n">
        <v>5</v>
      </c>
      <c r="U393" s="0" t="s">
        <v>731</v>
      </c>
      <c r="V393" s="0" t="s">
        <v>40</v>
      </c>
      <c r="Z393" s="0" t="str">
        <f aca="false">HYPERLINK("http://lutemusic.org/composers/Bach/1023_violin_sonata_Em/bwv_1023_3_allemande/bwv_1023_3_allemande_VBT.ft3")</f>
        <v>http://lutemusic.org/composers/Bach/1023_violin_sonata_Em/bwv_1023_3_allemande/bwv_1023_3_allemande_VBT.ft3</v>
      </c>
      <c r="AA393" s="0" t="str">
        <f aca="false">HYPERLINK("http://lutemusic.org/composers/Bach/1023_violin_sonata_Em/bwv_1023_3_allemande/pdf/bwv_1023_3_allemande_VBT.pdf")</f>
        <v>http://lutemusic.org/composers/Bach/1023_violin_sonata_Em/bwv_1023_3_allemande/pdf/bwv_1023_3_allemande_VBT.pdf</v>
      </c>
      <c r="AB393" s="0" t="str">
        <f aca="false">HYPERLINK("http://lutemusic.org/composers/Bach/1023_violin_sonata_Em/bwv_1023_3_allemande/midi/bwv_1023_3_allemande_VBT.mid")</f>
        <v>http://lutemusic.org/composers/Bach/1023_violin_sonata_Em/bwv_1023_3_allemande/midi/bwv_1023_3_allemande_VBT.mid</v>
      </c>
      <c r="AC393" s="0" t="n">
        <v>1573937407</v>
      </c>
      <c r="AD393" s="0" t="n">
        <v>1586042062</v>
      </c>
    </row>
    <row r="394" customFormat="false" ht="12.8" hidden="false" customHeight="false" outlineLevel="0" collapsed="false">
      <c r="B394" s="0" t="s">
        <v>746</v>
      </c>
      <c r="C394" s="0" t="s">
        <v>622</v>
      </c>
      <c r="E394" s="0" t="s">
        <v>622</v>
      </c>
      <c r="F394" s="0" t="s">
        <v>742</v>
      </c>
      <c r="H394" s="0" t="n">
        <v>1714</v>
      </c>
      <c r="J394" s="0" t="s">
        <v>36</v>
      </c>
      <c r="K394" s="0" t="s">
        <v>36</v>
      </c>
      <c r="L394" s="0" t="s">
        <v>36</v>
      </c>
      <c r="P394" s="0" t="s">
        <v>743</v>
      </c>
      <c r="Q394" s="0" t="s">
        <v>746</v>
      </c>
      <c r="R394" s="0" t="s">
        <v>234</v>
      </c>
      <c r="S394" s="0" t="s">
        <v>424</v>
      </c>
      <c r="T394" s="0" t="n">
        <v>5</v>
      </c>
      <c r="U394" s="0" t="s">
        <v>731</v>
      </c>
      <c r="V394" s="0" t="s">
        <v>734</v>
      </c>
      <c r="Z394" s="0" t="str">
        <f aca="false">HYPERLINK("http://lutemusic.org/composers/Bach/1023_violin_sonata_Em/bwv_1023_3_allemande/bwv_1023_3_allemande_VT.ft3")</f>
        <v>http://lutemusic.org/composers/Bach/1023_violin_sonata_Em/bwv_1023_3_allemande/bwv_1023_3_allemande_VT.ft3</v>
      </c>
      <c r="AA394" s="0" t="str">
        <f aca="false">HYPERLINK("http://lutemusic.org/composers/Bach/1023_violin_sonata_Em/bwv_1023_3_allemande/pdf/bwv_1023_3_allemande_VT.pdf")</f>
        <v>http://lutemusic.org/composers/Bach/1023_violin_sonata_Em/bwv_1023_3_allemande/pdf/bwv_1023_3_allemande_VT.pdf</v>
      </c>
      <c r="AB394" s="0" t="str">
        <f aca="false">HYPERLINK("http://lutemusic.org/composers/Bach/1023_violin_sonata_Em/bwv_1023_3_allemande/midi/bwv_1023_3_allemande_VT.mid")</f>
        <v>http://lutemusic.org/composers/Bach/1023_violin_sonata_Em/bwv_1023_3_allemande/midi/bwv_1023_3_allemande_VT.mid</v>
      </c>
      <c r="AC394" s="0" t="n">
        <v>1573937407</v>
      </c>
      <c r="AD394" s="0" t="n">
        <v>1586042062</v>
      </c>
    </row>
    <row r="395" customFormat="false" ht="12.8" hidden="false" customHeight="false" outlineLevel="0" collapsed="false">
      <c r="B395" s="0" t="s">
        <v>694</v>
      </c>
      <c r="C395" s="0" t="s">
        <v>622</v>
      </c>
      <c r="E395" s="0" t="s">
        <v>622</v>
      </c>
      <c r="F395" s="0" t="s">
        <v>742</v>
      </c>
      <c r="H395" s="0" t="n">
        <v>1714</v>
      </c>
      <c r="J395" s="0" t="s">
        <v>36</v>
      </c>
      <c r="K395" s="0" t="s">
        <v>36</v>
      </c>
      <c r="L395" s="0" t="s">
        <v>36</v>
      </c>
      <c r="P395" s="0" t="s">
        <v>743</v>
      </c>
      <c r="Q395" s="0" t="s">
        <v>694</v>
      </c>
      <c r="R395" s="0" t="s">
        <v>678</v>
      </c>
      <c r="S395" s="0" t="s">
        <v>424</v>
      </c>
      <c r="T395" s="0" t="n">
        <v>5</v>
      </c>
      <c r="U395" s="0" t="s">
        <v>731</v>
      </c>
      <c r="V395" s="0" t="s">
        <v>732</v>
      </c>
      <c r="Z395" s="0" t="str">
        <f aca="false">HYPERLINK("http://lutemusic.org/composers/Bach/1023_violin_sonata_Em/bwv_1023_4_gigue/bwv_1023_4_gigue_B.ft3")</f>
        <v>http://lutemusic.org/composers/Bach/1023_violin_sonata_Em/bwv_1023_4_gigue/bwv_1023_4_gigue_B.ft3</v>
      </c>
      <c r="AA395" s="0" t="str">
        <f aca="false">HYPERLINK("http://lutemusic.org/composers/Bach/1023_violin_sonata_Em/bwv_1023_4_gigue/pdf/bwv_1023_4_gigue_B.pdf")</f>
        <v>http://lutemusic.org/composers/Bach/1023_violin_sonata_Em/bwv_1023_4_gigue/pdf/bwv_1023_4_gigue_B.pdf</v>
      </c>
      <c r="AB395" s="0" t="str">
        <f aca="false">HYPERLINK("http://lutemusic.org/composers/Bach/1023_violin_sonata_Em/bwv_1023_4_gigue/midi/bwv_1023_4_gigue_B.mid")</f>
        <v>http://lutemusic.org/composers/Bach/1023_violin_sonata_Em/bwv_1023_4_gigue/midi/bwv_1023_4_gigue_B.mid</v>
      </c>
      <c r="AC395" s="0" t="n">
        <v>1573937407</v>
      </c>
      <c r="AD395" s="0" t="n">
        <v>1586042062</v>
      </c>
    </row>
    <row r="396" customFormat="false" ht="12.8" hidden="false" customHeight="false" outlineLevel="0" collapsed="false">
      <c r="B396" s="0" t="s">
        <v>694</v>
      </c>
      <c r="C396" s="0" t="s">
        <v>622</v>
      </c>
      <c r="E396" s="0" t="s">
        <v>622</v>
      </c>
      <c r="F396" s="0" t="s">
        <v>742</v>
      </c>
      <c r="H396" s="0" t="n">
        <v>1714</v>
      </c>
      <c r="J396" s="0" t="s">
        <v>36</v>
      </c>
      <c r="K396" s="0" t="s">
        <v>36</v>
      </c>
      <c r="L396" s="0" t="s">
        <v>36</v>
      </c>
      <c r="P396" s="0" t="s">
        <v>743</v>
      </c>
      <c r="Q396" s="0" t="s">
        <v>694</v>
      </c>
      <c r="R396" s="0" t="s">
        <v>678</v>
      </c>
      <c r="S396" s="0" t="s">
        <v>424</v>
      </c>
      <c r="T396" s="0" t="n">
        <v>5</v>
      </c>
      <c r="U396" s="0" t="s">
        <v>731</v>
      </c>
      <c r="V396" s="0" t="s">
        <v>41</v>
      </c>
      <c r="Z396" s="0" t="str">
        <f aca="false">HYPERLINK("http://lutemusic.org/composers/Bach/1023_violin_sonata_Em/bwv_1023_4_gigue/bwv_1023_4_gigue_T.ft3")</f>
        <v>http://lutemusic.org/composers/Bach/1023_violin_sonata_Em/bwv_1023_4_gigue/bwv_1023_4_gigue_T.ft3</v>
      </c>
      <c r="AA396" s="0" t="str">
        <f aca="false">HYPERLINK("http://lutemusic.org/composers/Bach/1023_violin_sonata_Em/bwv_1023_4_gigue/pdf/bwv_1023_4_gigue_T.pdf")</f>
        <v>http://lutemusic.org/composers/Bach/1023_violin_sonata_Em/bwv_1023_4_gigue/pdf/bwv_1023_4_gigue_T.pdf</v>
      </c>
      <c r="AB396" s="0" t="str">
        <f aca="false">HYPERLINK("http://lutemusic.org/composers/Bach/1023_violin_sonata_Em/bwv_1023_4_gigue/midi/bwv_1023_4_gigue_T.mid")</f>
        <v>http://lutemusic.org/composers/Bach/1023_violin_sonata_Em/bwv_1023_4_gigue/midi/bwv_1023_4_gigue_T.mid</v>
      </c>
      <c r="AC396" s="0" t="n">
        <v>1573937407</v>
      </c>
      <c r="AD396" s="0" t="n">
        <v>1586042062</v>
      </c>
    </row>
    <row r="397" customFormat="false" ht="12.8" hidden="false" customHeight="false" outlineLevel="0" collapsed="false">
      <c r="B397" s="0" t="s">
        <v>694</v>
      </c>
      <c r="C397" s="0" t="s">
        <v>622</v>
      </c>
      <c r="E397" s="0" t="s">
        <v>622</v>
      </c>
      <c r="F397" s="0" t="s">
        <v>742</v>
      </c>
      <c r="H397" s="0" t="n">
        <v>1714</v>
      </c>
      <c r="J397" s="0" t="s">
        <v>36</v>
      </c>
      <c r="K397" s="0" t="s">
        <v>36</v>
      </c>
      <c r="L397" s="0" t="s">
        <v>36</v>
      </c>
      <c r="P397" s="0" t="s">
        <v>743</v>
      </c>
      <c r="Q397" s="0" t="s">
        <v>694</v>
      </c>
      <c r="R397" s="0" t="s">
        <v>678</v>
      </c>
      <c r="S397" s="0" t="s">
        <v>424</v>
      </c>
      <c r="T397" s="0" t="n">
        <v>5</v>
      </c>
      <c r="U397" s="0" t="s">
        <v>731</v>
      </c>
      <c r="V397" s="0" t="s">
        <v>732</v>
      </c>
      <c r="Z397" s="0" t="str">
        <f aca="false">HYPERLINK("http://lutemusic.org/composers/Bach/1023_violin_sonata_Em/bwv_1023_4_gigue/bwv_1023_4_gigue_V.ft3")</f>
        <v>http://lutemusic.org/composers/Bach/1023_violin_sonata_Em/bwv_1023_4_gigue/bwv_1023_4_gigue_V.ft3</v>
      </c>
      <c r="AA397" s="0" t="str">
        <f aca="false">HYPERLINK("http://lutemusic.org/composers/Bach/1023_violin_sonata_Em/bwv_1023_4_gigue/pdf/bwv_1023_4_gigue_V.pdf")</f>
        <v>http://lutemusic.org/composers/Bach/1023_violin_sonata_Em/bwv_1023_4_gigue/pdf/bwv_1023_4_gigue_V.pdf</v>
      </c>
      <c r="AB397" s="0" t="str">
        <f aca="false">HYPERLINK("http://lutemusic.org/composers/Bach/1023_violin_sonata_Em/bwv_1023_4_gigue/midi/bwv_1023_4_gigue_V.mid")</f>
        <v>http://lutemusic.org/composers/Bach/1023_violin_sonata_Em/bwv_1023_4_gigue/midi/bwv_1023_4_gigue_V.mid</v>
      </c>
      <c r="AC397" s="0" t="n">
        <v>1573937407</v>
      </c>
      <c r="AD397" s="0" t="n">
        <v>1586042062</v>
      </c>
    </row>
    <row r="398" customFormat="false" ht="12.8" hidden="false" customHeight="false" outlineLevel="0" collapsed="false">
      <c r="B398" s="0" t="s">
        <v>694</v>
      </c>
      <c r="C398" s="0" t="s">
        <v>622</v>
      </c>
      <c r="E398" s="0" t="s">
        <v>622</v>
      </c>
      <c r="F398" s="0" t="s">
        <v>742</v>
      </c>
      <c r="H398" s="0" t="n">
        <v>1714</v>
      </c>
      <c r="J398" s="0" t="s">
        <v>36</v>
      </c>
      <c r="K398" s="0" t="s">
        <v>36</v>
      </c>
      <c r="L398" s="0" t="s">
        <v>36</v>
      </c>
      <c r="P398" s="0" t="s">
        <v>743</v>
      </c>
      <c r="Q398" s="0" t="s">
        <v>694</v>
      </c>
      <c r="R398" s="0" t="s">
        <v>678</v>
      </c>
      <c r="S398" s="0" t="s">
        <v>424</v>
      </c>
      <c r="T398" s="0" t="n">
        <v>5</v>
      </c>
      <c r="U398" s="0" t="s">
        <v>731</v>
      </c>
      <c r="V398" s="0" t="s">
        <v>733</v>
      </c>
      <c r="Z398" s="0" t="str">
        <f aca="false">HYPERLINK("http://lutemusic.org/composers/Bach/1023_violin_sonata_Em/bwv_1023_4_gigue/bwv_1023_4_gigue_VB.ft3")</f>
        <v>http://lutemusic.org/composers/Bach/1023_violin_sonata_Em/bwv_1023_4_gigue/bwv_1023_4_gigue_VB.ft3</v>
      </c>
      <c r="AA398" s="0" t="str">
        <f aca="false">HYPERLINK("http://lutemusic.org/composers/Bach/1023_violin_sonata_Em/bwv_1023_4_gigue/pdf/bwv_1023_4_gigue_VB.pdf")</f>
        <v>http://lutemusic.org/composers/Bach/1023_violin_sonata_Em/bwv_1023_4_gigue/pdf/bwv_1023_4_gigue_VB.pdf</v>
      </c>
      <c r="AB398" s="0" t="str">
        <f aca="false">HYPERLINK("http://lutemusic.org/composers/Bach/1023_violin_sonata_Em/bwv_1023_4_gigue/midi/bwv_1023_4_gigue_VB.mid")</f>
        <v>http://lutemusic.org/composers/Bach/1023_violin_sonata_Em/bwv_1023_4_gigue/midi/bwv_1023_4_gigue_VB.mid</v>
      </c>
      <c r="AC398" s="0" t="n">
        <v>1573937407</v>
      </c>
      <c r="AD398" s="0" t="n">
        <v>1586042062</v>
      </c>
    </row>
    <row r="399" customFormat="false" ht="12.8" hidden="false" customHeight="false" outlineLevel="0" collapsed="false">
      <c r="B399" s="0" t="s">
        <v>694</v>
      </c>
      <c r="C399" s="0" t="s">
        <v>622</v>
      </c>
      <c r="E399" s="0" t="s">
        <v>622</v>
      </c>
      <c r="F399" s="0" t="s">
        <v>742</v>
      </c>
      <c r="H399" s="0" t="n">
        <v>1714</v>
      </c>
      <c r="J399" s="0" t="s">
        <v>36</v>
      </c>
      <c r="K399" s="0" t="s">
        <v>36</v>
      </c>
      <c r="L399" s="0" t="s">
        <v>36</v>
      </c>
      <c r="P399" s="0" t="s">
        <v>743</v>
      </c>
      <c r="Q399" s="0" t="s">
        <v>694</v>
      </c>
      <c r="R399" s="0" t="s">
        <v>678</v>
      </c>
      <c r="S399" s="0" t="s">
        <v>424</v>
      </c>
      <c r="T399" s="0" t="n">
        <v>5</v>
      </c>
      <c r="U399" s="0" t="s">
        <v>731</v>
      </c>
      <c r="V399" s="0" t="s">
        <v>40</v>
      </c>
      <c r="Z399" s="0" t="str">
        <f aca="false">HYPERLINK("http://lutemusic.org/composers/Bach/1023_violin_sonata_Em/bwv_1023_4_gigue/bwv_1023_4_gigue_VBT.ft3")</f>
        <v>http://lutemusic.org/composers/Bach/1023_violin_sonata_Em/bwv_1023_4_gigue/bwv_1023_4_gigue_VBT.ft3</v>
      </c>
      <c r="AA399" s="0" t="str">
        <f aca="false">HYPERLINK("http://lutemusic.org/composers/Bach/1023_violin_sonata_Em/bwv_1023_4_gigue/pdf/bwv_1023_4_gigue_VBT.pdf")</f>
        <v>http://lutemusic.org/composers/Bach/1023_violin_sonata_Em/bwv_1023_4_gigue/pdf/bwv_1023_4_gigue_VBT.pdf</v>
      </c>
      <c r="AB399" s="0" t="str">
        <f aca="false">HYPERLINK("http://lutemusic.org/composers/Bach/1023_violin_sonata_Em/bwv_1023_4_gigue/midi/bwv_1023_4_gigue_VBT.mid")</f>
        <v>http://lutemusic.org/composers/Bach/1023_violin_sonata_Em/bwv_1023_4_gigue/midi/bwv_1023_4_gigue_VBT.mid</v>
      </c>
      <c r="AC399" s="0" t="n">
        <v>1573937407</v>
      </c>
      <c r="AD399" s="0" t="n">
        <v>1586042062</v>
      </c>
    </row>
    <row r="400" customFormat="false" ht="12.8" hidden="false" customHeight="false" outlineLevel="0" collapsed="false">
      <c r="B400" s="0" t="s">
        <v>694</v>
      </c>
      <c r="C400" s="0" t="s">
        <v>622</v>
      </c>
      <c r="E400" s="0" t="s">
        <v>622</v>
      </c>
      <c r="F400" s="0" t="s">
        <v>742</v>
      </c>
      <c r="H400" s="0" t="n">
        <v>1714</v>
      </c>
      <c r="J400" s="0" t="s">
        <v>36</v>
      </c>
      <c r="K400" s="0" t="s">
        <v>36</v>
      </c>
      <c r="L400" s="0" t="s">
        <v>36</v>
      </c>
      <c r="P400" s="0" t="s">
        <v>743</v>
      </c>
      <c r="Q400" s="0" t="s">
        <v>694</v>
      </c>
      <c r="R400" s="0" t="s">
        <v>678</v>
      </c>
      <c r="S400" s="0" t="s">
        <v>424</v>
      </c>
      <c r="T400" s="0" t="n">
        <v>5</v>
      </c>
      <c r="U400" s="0" t="s">
        <v>731</v>
      </c>
      <c r="V400" s="0" t="s">
        <v>734</v>
      </c>
      <c r="Z400" s="0" t="str">
        <f aca="false">HYPERLINK("http://lutemusic.org/composers/Bach/1023_violin_sonata_Em/bwv_1023_4_gigue/bwv_1023_4_gigue_VT.ft3")</f>
        <v>http://lutemusic.org/composers/Bach/1023_violin_sonata_Em/bwv_1023_4_gigue/bwv_1023_4_gigue_VT.ft3</v>
      </c>
      <c r="AA400" s="0" t="str">
        <f aca="false">HYPERLINK("http://lutemusic.org/composers/Bach/1023_violin_sonata_Em/bwv_1023_4_gigue/pdf/bwv_1023_4_gigue_VT.pdf")</f>
        <v>http://lutemusic.org/composers/Bach/1023_violin_sonata_Em/bwv_1023_4_gigue/pdf/bwv_1023_4_gigue_VT.pdf</v>
      </c>
      <c r="AB400" s="0" t="str">
        <f aca="false">HYPERLINK("http://lutemusic.org/composers/Bach/1023_violin_sonata_Em/bwv_1023_4_gigue/midi/bwv_1023_4_gigue_VT.mid")</f>
        <v>http://lutemusic.org/composers/Bach/1023_violin_sonata_Em/bwv_1023_4_gigue/midi/bwv_1023_4_gigue_VT.mid</v>
      </c>
      <c r="AC400" s="0" t="n">
        <v>1573937407</v>
      </c>
      <c r="AD400" s="0" t="n">
        <v>1586042062</v>
      </c>
    </row>
    <row r="401" customFormat="false" ht="12.8" hidden="false" customHeight="false" outlineLevel="0" collapsed="false">
      <c r="A401" s="0" t="s">
        <v>747</v>
      </c>
      <c r="B401" s="0" t="s">
        <v>748</v>
      </c>
      <c r="C401" s="0" t="s">
        <v>622</v>
      </c>
      <c r="E401" s="0" t="s">
        <v>622</v>
      </c>
      <c r="F401" s="0" t="s">
        <v>749</v>
      </c>
      <c r="H401" s="0" t="n">
        <v>1717</v>
      </c>
      <c r="J401" s="0" t="s">
        <v>36</v>
      </c>
      <c r="K401" s="0" t="s">
        <v>357</v>
      </c>
      <c r="L401" s="0" t="s">
        <v>357</v>
      </c>
      <c r="M401" s="0" t="s">
        <v>357</v>
      </c>
      <c r="P401" s="0" t="s">
        <v>750</v>
      </c>
      <c r="Q401" s="0" t="s">
        <v>748</v>
      </c>
      <c r="R401" s="0" t="s">
        <v>751</v>
      </c>
      <c r="S401" s="0" t="s">
        <v>62</v>
      </c>
      <c r="T401" s="0" t="n">
        <v>5</v>
      </c>
      <c r="U401" s="0" t="s">
        <v>644</v>
      </c>
      <c r="Z401" s="0" t="str">
        <f aca="false">HYPERLINK("http://lutemusic.org/composers/Bach/1068_air_on_a_G_string/air_on_a_g_string_bar.ft3")</f>
        <v>http://lutemusic.org/composers/Bach/1068_air_on_a_G_string/air_on_a_g_string_bar.ft3</v>
      </c>
      <c r="AA401" s="0" t="str">
        <f aca="false">HYPERLINK("http://lutemusic.org/composers/Bach/1068_air_on_a_G_string/pdf/air_on_a_g_string_bar.pdf")</f>
        <v>http://lutemusic.org/composers/Bach/1068_air_on_a_G_string/pdf/air_on_a_g_string_bar.pdf</v>
      </c>
      <c r="AB401" s="0" t="str">
        <f aca="false">HYPERLINK("http://lutemusic.org/composers/Bach/1068_air_on_a_G_string/midi/air_on_a_g_string_bar.mid")</f>
        <v>http://lutemusic.org/composers/Bach/1068_air_on_a_G_string/midi/air_on_a_g_string_bar.mid</v>
      </c>
      <c r="AC401" s="0" t="n">
        <v>1573937407</v>
      </c>
      <c r="AD401" s="0" t="n">
        <v>1586042062</v>
      </c>
    </row>
    <row r="402" customFormat="false" ht="12.8" hidden="false" customHeight="false" outlineLevel="0" collapsed="false">
      <c r="A402" s="0" t="s">
        <v>752</v>
      </c>
      <c r="C402" s="0" t="s">
        <v>753</v>
      </c>
      <c r="E402" s="0" t="s">
        <v>449</v>
      </c>
      <c r="F402" s="0" t="s">
        <v>754</v>
      </c>
      <c r="H402" s="0" t="n">
        <v>1610</v>
      </c>
      <c r="I402" s="0" t="s">
        <v>755</v>
      </c>
      <c r="J402" s="0" t="s">
        <v>36</v>
      </c>
      <c r="K402" s="0" t="s">
        <v>36</v>
      </c>
      <c r="P402" s="0" t="s">
        <v>752</v>
      </c>
      <c r="R402" s="0" t="s">
        <v>234</v>
      </c>
      <c r="S402" s="0" t="s">
        <v>49</v>
      </c>
      <c r="T402" s="0" t="n">
        <v>3</v>
      </c>
      <c r="U402" s="0" t="s">
        <v>705</v>
      </c>
      <c r="Y402" s="0" t="str">
        <f aca="false">HYPERLINK("http://lutemusic.org/facsimiles/GB-Cfm_Fitzwilliam_Museum/ms_3-1956_Herbert_of_Cherburys_lute_book_1610/26.png")</f>
        <v>http://lutemusic.org/facsimiles/GB-Cfm_Fitzwilliam_Museum/ms_3-1956_Herbert_of_Cherburys_lute_book_1610/26.png</v>
      </c>
      <c r="Z402" s="0" t="str">
        <f aca="false">HYPERLINK("http://lutemusic.org/composers/Bacheler/almain_01.ft3")</f>
        <v>http://lutemusic.org/composers/Bacheler/almain_01.ft3</v>
      </c>
      <c r="AA402" s="0" t="str">
        <f aca="false">HYPERLINK("http://lutemusic.org/composers/Bacheler/pdf/almain_01.pdf")</f>
        <v>http://lutemusic.org/composers/Bacheler/pdf/almain_01.pdf</v>
      </c>
      <c r="AB402" s="0" t="str">
        <f aca="false">HYPERLINK("http://lutemusic.org/composers/Bacheler/midi/almain_01.mid")</f>
        <v>http://lutemusic.org/composers/Bacheler/midi/almain_01.mid</v>
      </c>
      <c r="AC402" s="0" t="n">
        <v>1573937407</v>
      </c>
      <c r="AD402" s="0" t="n">
        <v>1588468779</v>
      </c>
    </row>
    <row r="403" customFormat="false" ht="12.8" hidden="false" customHeight="false" outlineLevel="0" collapsed="false">
      <c r="A403" s="0" t="s">
        <v>756</v>
      </c>
      <c r="C403" s="0" t="s">
        <v>753</v>
      </c>
      <c r="E403" s="0" t="s">
        <v>449</v>
      </c>
      <c r="F403" s="0" t="s">
        <v>754</v>
      </c>
      <c r="H403" s="0" t="n">
        <v>1610</v>
      </c>
      <c r="I403" s="0" t="s">
        <v>757</v>
      </c>
      <c r="J403" s="0" t="s">
        <v>36</v>
      </c>
      <c r="K403" s="0" t="s">
        <v>36</v>
      </c>
      <c r="P403" s="0" t="s">
        <v>756</v>
      </c>
      <c r="R403" s="0" t="s">
        <v>181</v>
      </c>
      <c r="S403" s="0" t="s">
        <v>175</v>
      </c>
      <c r="T403" s="0" t="n">
        <v>3</v>
      </c>
      <c r="U403" s="0" t="s">
        <v>705</v>
      </c>
      <c r="Y403" s="0" t="str">
        <f aca="false">HYPERLINK("http://lutemusic.org/facsimiles/GB-Cfm_Fitzwilliam_Museum/ms_3-1956_Herbert_of_Cherburys_lute_book_1610/25v.png")</f>
        <v>http://lutemusic.org/facsimiles/GB-Cfm_Fitzwilliam_Museum/ms_3-1956_Herbert_of_Cherburys_lute_book_1610/25v.png</v>
      </c>
      <c r="Z403" s="0" t="str">
        <f aca="false">HYPERLINK("http://lutemusic.org/composers/Bacheler/courante_01.ft3")</f>
        <v>http://lutemusic.org/composers/Bacheler/courante_01.ft3</v>
      </c>
      <c r="AA403" s="0" t="str">
        <f aca="false">HYPERLINK("http://lutemusic.org/composers/Bacheler/pdf/courante_01.pdf")</f>
        <v>http://lutemusic.org/composers/Bacheler/pdf/courante_01.pdf</v>
      </c>
      <c r="AB403" s="0" t="str">
        <f aca="false">HYPERLINK("http://lutemusic.org/composers/Bacheler/midi/courante_01.mid")</f>
        <v>http://lutemusic.org/composers/Bacheler/midi/courante_01.mid</v>
      </c>
      <c r="AC403" s="0" t="n">
        <v>1573937407</v>
      </c>
      <c r="AD403" s="0" t="n">
        <v>1588468779</v>
      </c>
    </row>
    <row r="404" customFormat="false" ht="12.8" hidden="false" customHeight="false" outlineLevel="0" collapsed="false">
      <c r="A404" s="0" t="s">
        <v>758</v>
      </c>
      <c r="C404" s="0" t="s">
        <v>753</v>
      </c>
      <c r="E404" s="0" t="s">
        <v>449</v>
      </c>
      <c r="F404" s="0" t="s">
        <v>754</v>
      </c>
      <c r="H404" s="0" t="n">
        <v>1610</v>
      </c>
      <c r="I404" s="0" t="s">
        <v>759</v>
      </c>
      <c r="J404" s="0" t="s">
        <v>36</v>
      </c>
      <c r="K404" s="0" t="s">
        <v>36</v>
      </c>
      <c r="P404" s="0" t="s">
        <v>758</v>
      </c>
      <c r="R404" s="0" t="s">
        <v>760</v>
      </c>
      <c r="S404" s="0" t="s">
        <v>49</v>
      </c>
      <c r="T404" s="0" t="n">
        <v>3</v>
      </c>
      <c r="U404" s="0" t="s">
        <v>705</v>
      </c>
      <c r="Y404" s="0" t="str">
        <f aca="false">HYPERLINK("http://lutemusic.org/facsimiles/GB-Cfm_Fitzwilliam_Museum/ms_3-1956_Herbert_of_Cherburys_lute_book_1610/28v.png")</f>
        <v>http://lutemusic.org/facsimiles/GB-Cfm_Fitzwilliam_Museum/ms_3-1956_Herbert_of_Cherburys_lute_book_1610/28v.png</v>
      </c>
      <c r="Z404" s="0" t="str">
        <f aca="false">HYPERLINK("http://lutemusic.org/composers/Bacheler/courante_02.ft3")</f>
        <v>http://lutemusic.org/composers/Bacheler/courante_02.ft3</v>
      </c>
      <c r="AA404" s="0" t="str">
        <f aca="false">HYPERLINK("http://lutemusic.org/composers/Bacheler/pdf/courante_02.pdf")</f>
        <v>http://lutemusic.org/composers/Bacheler/pdf/courante_02.pdf</v>
      </c>
      <c r="AB404" s="0" t="str">
        <f aca="false">HYPERLINK("http://lutemusic.org/composers/Bacheler/midi/courante_02.mid")</f>
        <v>http://lutemusic.org/composers/Bacheler/midi/courante_02.mid</v>
      </c>
      <c r="AC404" s="0" t="n">
        <v>1573937407</v>
      </c>
      <c r="AD404" s="0" t="n">
        <v>1588468779</v>
      </c>
    </row>
    <row r="405" customFormat="false" ht="12.8" hidden="false" customHeight="false" outlineLevel="0" collapsed="false">
      <c r="A405" s="0" t="s">
        <v>761</v>
      </c>
      <c r="C405" s="0" t="s">
        <v>753</v>
      </c>
      <c r="E405" s="0" t="s">
        <v>74</v>
      </c>
      <c r="F405" s="0" t="s">
        <v>138</v>
      </c>
      <c r="H405" s="0" t="n">
        <v>1595</v>
      </c>
      <c r="I405" s="0" t="s">
        <v>762</v>
      </c>
      <c r="J405" s="0" t="s">
        <v>36</v>
      </c>
      <c r="K405" s="0" t="s">
        <v>36</v>
      </c>
      <c r="P405" s="0" t="s">
        <v>763</v>
      </c>
      <c r="R405" s="0" t="s">
        <v>764</v>
      </c>
      <c r="S405" s="0" t="s">
        <v>49</v>
      </c>
      <c r="T405" s="0" t="n">
        <v>3</v>
      </c>
      <c r="U405" s="0" t="s">
        <v>53</v>
      </c>
      <c r="Y405" s="0" t="str">
        <f aca="false">HYPERLINK("http://lutemusic.org/facsimiles/GB-Cu_Cambridge_University_Library/ms_add_3056_Cosens_lute_book_1595/43v.png")</f>
        <v>http://lutemusic.org/facsimiles/GB-Cu_Cambridge_University_Library/ms_add_3056_Cosens_lute_book_1595/43v.png</v>
      </c>
      <c r="Z405" s="0" t="str">
        <f aca="false">HYPERLINK("http://lutemusic.org/composers/Bacheler/en_me_revenant.ft3")</f>
        <v>http://lutemusic.org/composers/Bacheler/en_me_revenant.ft3</v>
      </c>
      <c r="AA405" s="0" t="str">
        <f aca="false">HYPERLINK("http://lutemusic.org/composers/Bacheler/pdf/en_me_revenant.pdf")</f>
        <v>http://lutemusic.org/composers/Bacheler/pdf/en_me_revenant.pdf</v>
      </c>
      <c r="AB405" s="0" t="str">
        <f aca="false">HYPERLINK("http://lutemusic.org/composers/Bacheler/midi/en_me_revenant.mid")</f>
        <v>http://lutemusic.org/composers/Bacheler/midi/en_me_revenant.mid</v>
      </c>
      <c r="AC405" s="0" t="n">
        <v>1573937407</v>
      </c>
      <c r="AD405" s="0" t="n">
        <v>1588630196</v>
      </c>
    </row>
    <row r="406" customFormat="false" ht="12.8" hidden="false" customHeight="false" outlineLevel="0" collapsed="false">
      <c r="A406" s="0" t="s">
        <v>765</v>
      </c>
      <c r="C406" s="0" t="s">
        <v>753</v>
      </c>
      <c r="E406" s="0" t="s">
        <v>185</v>
      </c>
      <c r="F406" s="0" t="s">
        <v>186</v>
      </c>
      <c r="H406" s="0" t="n">
        <v>1625</v>
      </c>
      <c r="I406" s="0" t="s">
        <v>766</v>
      </c>
      <c r="J406" s="0" t="s">
        <v>36</v>
      </c>
      <c r="K406" s="0" t="s">
        <v>36</v>
      </c>
      <c r="P406" s="0" t="s">
        <v>767</v>
      </c>
      <c r="R406" s="0" t="s">
        <v>234</v>
      </c>
      <c r="S406" s="0" t="s">
        <v>49</v>
      </c>
      <c r="T406" s="0" t="n">
        <v>3</v>
      </c>
      <c r="U406" s="0" t="s">
        <v>143</v>
      </c>
      <c r="Y406" s="0" t="str">
        <f aca="false">HYPERLINK("http://lutemusic.org/facsimiles/GB-Lspencer_Private_Library_of_Robert_Spencer/Margaret_Board_lute_book_1625/25v.png")</f>
        <v>http://lutemusic.org/facsimiles/GB-Lspencer_Private_Library_of_Robert_Spencer/Margaret_Board_lute_book_1625/25v.png</v>
      </c>
      <c r="Z406" s="0" t="str">
        <f aca="false">HYPERLINK("http://lutemusic.org/composers/Bacheler/en_me_revenant_simple.ft3")</f>
        <v>http://lutemusic.org/composers/Bacheler/en_me_revenant_simple.ft3</v>
      </c>
      <c r="AA406" s="0" t="str">
        <f aca="false">HYPERLINK("http://lutemusic.org/composers/Bacheler/pdf/en_me_revenant_simple.pdf")</f>
        <v>http://lutemusic.org/composers/Bacheler/pdf/en_me_revenant_simple.pdf</v>
      </c>
      <c r="AB406" s="0" t="str">
        <f aca="false">HYPERLINK("http://lutemusic.org/composers/Bacheler/midi/en_me_revenant_simple.mid")</f>
        <v>http://lutemusic.org/composers/Bacheler/midi/en_me_revenant_simple.mid</v>
      </c>
      <c r="AC406" s="0" t="n">
        <v>1573937407</v>
      </c>
      <c r="AD406" s="0" t="n">
        <v>1588468779</v>
      </c>
    </row>
    <row r="407" customFormat="false" ht="12.8" hidden="false" customHeight="false" outlineLevel="0" collapsed="false">
      <c r="A407" s="0" t="s">
        <v>768</v>
      </c>
      <c r="C407" s="0" t="s">
        <v>753</v>
      </c>
      <c r="E407" s="0" t="s">
        <v>449</v>
      </c>
      <c r="F407" s="0" t="s">
        <v>754</v>
      </c>
      <c r="H407" s="0" t="n">
        <v>1610</v>
      </c>
      <c r="I407" s="0" t="s">
        <v>769</v>
      </c>
      <c r="J407" s="0" t="s">
        <v>36</v>
      </c>
      <c r="K407" s="0" t="s">
        <v>36</v>
      </c>
      <c r="P407" s="0" t="s">
        <v>768</v>
      </c>
      <c r="R407" s="0" t="s">
        <v>61</v>
      </c>
      <c r="S407" s="0" t="s">
        <v>175</v>
      </c>
      <c r="T407" s="0" t="n">
        <v>6</v>
      </c>
      <c r="U407" s="0" t="s">
        <v>705</v>
      </c>
      <c r="Y407" s="0" t="str">
        <f aca="false">HYPERLINK("http://lutemusic.org/facsimiles/GB-Cfm_Fitzwilliam_Museum/ms_3-1956_Herbert_of_Cherburys_lute_book_1610/56v.png")</f>
        <v>http://lutemusic.org/facsimiles/GB-Cfm_Fitzwilliam_Museum/ms_3-1956_Herbert_of_Cherburys_lute_book_1610/56v.png</v>
      </c>
      <c r="Z407" s="0" t="str">
        <f aca="false">HYPERLINK("http://lutemusic.org/composers/Bacheler/fantasy_01.ft3")</f>
        <v>http://lutemusic.org/composers/Bacheler/fantasy_01.ft3</v>
      </c>
      <c r="AA407" s="0" t="str">
        <f aca="false">HYPERLINK("http://lutemusic.org/composers/Bacheler/pdf/fantasy_01.pdf")</f>
        <v>http://lutemusic.org/composers/Bacheler/pdf/fantasy_01.pdf</v>
      </c>
      <c r="AB407" s="0" t="str">
        <f aca="false">HYPERLINK("http://lutemusic.org/composers/Bacheler/midi/fantasy_01.mid")</f>
        <v>http://lutemusic.org/composers/Bacheler/midi/fantasy_01.mid</v>
      </c>
      <c r="AC407" s="0" t="n">
        <v>1573937407</v>
      </c>
      <c r="AD407" s="0" t="n">
        <v>1588468779</v>
      </c>
    </row>
    <row r="408" customFormat="false" ht="12.8" hidden="false" customHeight="false" outlineLevel="0" collapsed="false">
      <c r="A408" s="0" t="s">
        <v>303</v>
      </c>
      <c r="C408" s="0" t="s">
        <v>753</v>
      </c>
      <c r="E408" s="0" t="s">
        <v>33</v>
      </c>
      <c r="F408" s="0" t="s">
        <v>288</v>
      </c>
      <c r="H408" s="0" t="n">
        <v>1620</v>
      </c>
      <c r="I408" s="0" t="s">
        <v>770</v>
      </c>
      <c r="J408" s="0" t="s">
        <v>36</v>
      </c>
      <c r="K408" s="0" t="s">
        <v>36</v>
      </c>
      <c r="P408" s="0" t="s">
        <v>303</v>
      </c>
      <c r="R408" s="0" t="s">
        <v>202</v>
      </c>
      <c r="S408" s="0" t="s">
        <v>66</v>
      </c>
      <c r="T408" s="0" t="n">
        <v>6</v>
      </c>
      <c r="U408" s="0" t="s">
        <v>143</v>
      </c>
      <c r="Y408" s="0" t="str">
        <f aca="false">HYPERLINK("http://lutemusic.org/facsimiles/GB-Lbl_British_Library/ms_Add_38539_John_Sturt_lute_book_1620/21.png")</f>
        <v>http://lutemusic.org/facsimiles/GB-Lbl_British_Library/ms_Add_38539_John_Sturt_lute_book_1620/21.png</v>
      </c>
      <c r="Z408" s="0" t="str">
        <f aca="false">HYPERLINK("http://lutemusic.org/composers/Bacheler/galliard_01.ft3")</f>
        <v>http://lutemusic.org/composers/Bacheler/galliard_01.ft3</v>
      </c>
      <c r="AA408" s="0" t="str">
        <f aca="false">HYPERLINK("http://lutemusic.org/composers/Bacheler/pdf/galliard_01.pdf")</f>
        <v>http://lutemusic.org/composers/Bacheler/pdf/galliard_01.pdf</v>
      </c>
      <c r="AB408" s="0" t="str">
        <f aca="false">HYPERLINK("http://lutemusic.org/composers/Bacheler/midi/galliard_01.mid")</f>
        <v>http://lutemusic.org/composers/Bacheler/midi/galliard_01.mid</v>
      </c>
      <c r="AC408" s="0" t="n">
        <v>1573937407</v>
      </c>
      <c r="AD408" s="0" t="n">
        <v>1588468779</v>
      </c>
    </row>
    <row r="409" customFormat="false" ht="12.8" hidden="false" customHeight="false" outlineLevel="0" collapsed="false">
      <c r="A409" s="0" t="s">
        <v>771</v>
      </c>
      <c r="C409" s="0" t="s">
        <v>753</v>
      </c>
      <c r="E409" s="0" t="s">
        <v>74</v>
      </c>
      <c r="F409" s="0" t="s">
        <v>141</v>
      </c>
      <c r="H409" s="0" t="n">
        <v>1600</v>
      </c>
      <c r="I409" s="0" t="s">
        <v>772</v>
      </c>
      <c r="J409" s="0" t="s">
        <v>36</v>
      </c>
      <c r="K409" s="0" t="s">
        <v>36</v>
      </c>
      <c r="P409" s="0" t="s">
        <v>771</v>
      </c>
      <c r="R409" s="0" t="s">
        <v>202</v>
      </c>
      <c r="S409" s="0" t="s">
        <v>119</v>
      </c>
      <c r="T409" s="0" t="n">
        <v>3</v>
      </c>
      <c r="U409" s="0" t="s">
        <v>143</v>
      </c>
      <c r="Y409" s="0" t="str">
        <f aca="false">HYPERLINK("http://lutemusic.org/facsimiles/GB-Cu_Cambridge_University_Library/Dd.5.78.3_1600/52v.png")</f>
        <v>http://lutemusic.org/facsimiles/GB-Cu_Cambridge_University_Library/Dd.5.78.3_1600/52v.png</v>
      </c>
      <c r="Z409" s="0" t="str">
        <f aca="false">HYPERLINK("http://lutemusic.org/composers/Bacheler/galliard_02.ft3")</f>
        <v>http://lutemusic.org/composers/Bacheler/galliard_02.ft3</v>
      </c>
      <c r="AA409" s="0" t="str">
        <f aca="false">HYPERLINK("http://lutemusic.org/composers/Bacheler/pdf/galliard_02.pdf")</f>
        <v>http://lutemusic.org/composers/Bacheler/pdf/galliard_02.pdf</v>
      </c>
      <c r="AB409" s="0" t="str">
        <f aca="false">HYPERLINK("http://lutemusic.org/composers/Bacheler/midi/galliard_02.mid")</f>
        <v>http://lutemusic.org/composers/Bacheler/midi/galliard_02.mid</v>
      </c>
      <c r="AC409" s="0" t="n">
        <v>1573937407</v>
      </c>
      <c r="AD409" s="0" t="n">
        <v>1586042062</v>
      </c>
    </row>
    <row r="410" customFormat="false" ht="12.8" hidden="false" customHeight="false" outlineLevel="0" collapsed="false">
      <c r="A410" s="0" t="s">
        <v>773</v>
      </c>
      <c r="C410" s="0" t="s">
        <v>753</v>
      </c>
      <c r="E410" s="0" t="s">
        <v>74</v>
      </c>
      <c r="F410" s="0" t="s">
        <v>774</v>
      </c>
      <c r="H410" s="0" t="n">
        <v>1610</v>
      </c>
      <c r="I410" s="0" t="s">
        <v>775</v>
      </c>
      <c r="J410" s="0" t="s">
        <v>36</v>
      </c>
      <c r="K410" s="0" t="s">
        <v>36</v>
      </c>
      <c r="P410" s="0" t="s">
        <v>773</v>
      </c>
      <c r="R410" s="0" t="s">
        <v>202</v>
      </c>
      <c r="S410" s="0" t="s">
        <v>119</v>
      </c>
      <c r="T410" s="0" t="n">
        <v>3</v>
      </c>
      <c r="U410" s="0" t="s">
        <v>143</v>
      </c>
      <c r="Y410" s="0" t="str">
        <f aca="false">HYPERLINK("http://lutemusic.org/facsimiles/GB-Cu_Cambridge_University_Library/Nn.6.36b_1610/38v.png")</f>
        <v>http://lutemusic.org/facsimiles/GB-Cu_Cambridge_University_Library/Nn.6.36b_1610/38v.png</v>
      </c>
      <c r="Z410" s="0" t="str">
        <f aca="false">HYPERLINK("http://lutemusic.org/composers/Bacheler/galliard_03.ft3")</f>
        <v>http://lutemusic.org/composers/Bacheler/galliard_03.ft3</v>
      </c>
      <c r="AA410" s="0" t="str">
        <f aca="false">HYPERLINK("http://lutemusic.org/composers/Bacheler/pdf/galliard_03.pdf")</f>
        <v>http://lutemusic.org/composers/Bacheler/pdf/galliard_03.pdf</v>
      </c>
      <c r="AB410" s="0" t="str">
        <f aca="false">HYPERLINK("http://lutemusic.org/composers/Bacheler/midi/galliard_03.mid")</f>
        <v>http://lutemusic.org/composers/Bacheler/midi/galliard_03.mid</v>
      </c>
      <c r="AC410" s="0" t="n">
        <v>1573937407</v>
      </c>
      <c r="AD410" s="0" t="n">
        <v>1586042062</v>
      </c>
    </row>
    <row r="411" customFormat="false" ht="12.8" hidden="false" customHeight="false" outlineLevel="0" collapsed="false">
      <c r="A411" s="0" t="s">
        <v>776</v>
      </c>
      <c r="C411" s="0" t="s">
        <v>753</v>
      </c>
      <c r="E411" s="0" t="s">
        <v>74</v>
      </c>
      <c r="F411" s="0" t="s">
        <v>138</v>
      </c>
      <c r="H411" s="0" t="n">
        <v>1595</v>
      </c>
      <c r="I411" s="0" t="s">
        <v>777</v>
      </c>
      <c r="J411" s="0" t="s">
        <v>36</v>
      </c>
      <c r="K411" s="0" t="s">
        <v>36</v>
      </c>
      <c r="P411" s="0" t="s">
        <v>776</v>
      </c>
      <c r="R411" s="0" t="s">
        <v>202</v>
      </c>
      <c r="S411" s="0" t="s">
        <v>119</v>
      </c>
      <c r="T411" s="0" t="n">
        <v>3</v>
      </c>
      <c r="U411" s="0" t="s">
        <v>53</v>
      </c>
      <c r="Y411" s="0" t="str">
        <f aca="false">HYPERLINK("http://lutemusic.org/facsimiles/GB-Cu_Cambridge_University_Library/ms_add_3056_Cosens_lute_book_1595/82v.png")</f>
        <v>http://lutemusic.org/facsimiles/GB-Cu_Cambridge_University_Library/ms_add_3056_Cosens_lute_book_1595/82v.png</v>
      </c>
      <c r="Z411" s="0" t="str">
        <f aca="false">HYPERLINK("http://lutemusic.org/composers/Bacheler/galliard_to_pavane_1_7C.ft3")</f>
        <v>http://lutemusic.org/composers/Bacheler/galliard_to_pavane_1_7C.ft3</v>
      </c>
      <c r="AA411" s="0" t="str">
        <f aca="false">HYPERLINK("http://lutemusic.org/composers/Bacheler/pdf/galliard_to_pavane_1_7C.pdf")</f>
        <v>http://lutemusic.org/composers/Bacheler/pdf/galliard_to_pavane_1_7C.pdf</v>
      </c>
      <c r="AB411" s="0" t="str">
        <f aca="false">HYPERLINK("http://lutemusic.org/composers/Bacheler/midi/galliard_to_pavane_1_7C.mid")</f>
        <v>http://lutemusic.org/composers/Bacheler/midi/galliard_to_pavane_1_7C.mid</v>
      </c>
      <c r="AC411" s="0" t="n">
        <v>1573937407</v>
      </c>
      <c r="AD411" s="0" t="n">
        <v>1588630196</v>
      </c>
    </row>
    <row r="412" customFormat="false" ht="12.8" hidden="false" customHeight="false" outlineLevel="0" collapsed="false">
      <c r="A412" s="0" t="s">
        <v>776</v>
      </c>
      <c r="C412" s="0" t="s">
        <v>753</v>
      </c>
      <c r="E412" s="0" t="s">
        <v>74</v>
      </c>
      <c r="F412" s="0" t="s">
        <v>138</v>
      </c>
      <c r="H412" s="0" t="n">
        <v>1595</v>
      </c>
      <c r="I412" s="0" t="s">
        <v>777</v>
      </c>
      <c r="J412" s="0" t="s">
        <v>36</v>
      </c>
      <c r="K412" s="0" t="s">
        <v>36</v>
      </c>
      <c r="P412" s="0" t="s">
        <v>776</v>
      </c>
      <c r="R412" s="0" t="s">
        <v>202</v>
      </c>
      <c r="S412" s="0" t="s">
        <v>119</v>
      </c>
      <c r="T412" s="0" t="n">
        <v>3</v>
      </c>
      <c r="U412" s="0" t="s">
        <v>53</v>
      </c>
      <c r="Y412" s="0" t="str">
        <f aca="false">HYPERLINK("http://lutemusic.org/facsimiles/GB-Cu_Cambridge_University_Library/ms_add_3056_Cosens_lute_book_1595/82v.png")</f>
        <v>http://lutemusic.org/facsimiles/GB-Cu_Cambridge_University_Library/ms_add_3056_Cosens_lute_book_1595/82v.png</v>
      </c>
      <c r="Z412" s="0" t="str">
        <f aca="false">HYPERLINK("http://lutemusic.org/composers/Bacheler/galliard_to_pavane_1_8C.ft3")</f>
        <v>http://lutemusic.org/composers/Bacheler/galliard_to_pavane_1_8C.ft3</v>
      </c>
      <c r="AA412" s="0" t="str">
        <f aca="false">HYPERLINK("http://lutemusic.org/composers/Bacheler/pdf/galliard_to_pavane_1_8C.pdf")</f>
        <v>http://lutemusic.org/composers/Bacheler/pdf/galliard_to_pavane_1_8C.pdf</v>
      </c>
      <c r="AB412" s="0" t="str">
        <f aca="false">HYPERLINK("http://lutemusic.org/composers/Bacheler/midi/galliard_to_pavane_1_8C.mid")</f>
        <v>http://lutemusic.org/composers/Bacheler/midi/galliard_to_pavane_1_8C.mid</v>
      </c>
      <c r="AC412" s="0" t="n">
        <v>1573937407</v>
      </c>
      <c r="AD412" s="0" t="n">
        <v>1588630196</v>
      </c>
    </row>
    <row r="413" customFormat="false" ht="12.8" hidden="false" customHeight="false" outlineLevel="0" collapsed="false">
      <c r="A413" s="0" t="s">
        <v>778</v>
      </c>
      <c r="C413" s="0" t="s">
        <v>753</v>
      </c>
      <c r="E413" s="0" t="s">
        <v>449</v>
      </c>
      <c r="F413" s="0" t="s">
        <v>754</v>
      </c>
      <c r="H413" s="0" t="n">
        <v>1610</v>
      </c>
      <c r="I413" s="0" t="s">
        <v>779</v>
      </c>
      <c r="J413" s="0" t="s">
        <v>36</v>
      </c>
      <c r="K413" s="0" t="s">
        <v>36</v>
      </c>
      <c r="P413" s="0" t="s">
        <v>778</v>
      </c>
      <c r="R413" s="0" t="s">
        <v>83</v>
      </c>
      <c r="S413" s="0" t="s">
        <v>175</v>
      </c>
      <c r="T413" s="0" t="n">
        <v>4</v>
      </c>
      <c r="U413" s="0" t="s">
        <v>705</v>
      </c>
      <c r="Y413" s="0" t="str">
        <f aca="false">HYPERLINK("http://lutemusic.org/facsimiles/GB-Cfm_Fitzwilliam_Museum/ms_3-1956_Herbert_of_Cherburys_lute_book_1610/23v.png")</f>
        <v>http://lutemusic.org/facsimiles/GB-Cfm_Fitzwilliam_Museum/ms_3-1956_Herbert_of_Cherburys_lute_book_1610/23v.png</v>
      </c>
      <c r="Z413" s="0" t="str">
        <f aca="false">HYPERLINK("http://lutemusic.org/composers/Bacheler/la_jeune_fillette.ft3")</f>
        <v>http://lutemusic.org/composers/Bacheler/la_jeune_fillette.ft3</v>
      </c>
      <c r="AA413" s="0" t="str">
        <f aca="false">HYPERLINK("http://lutemusic.org/composers/Bacheler/pdf/la_jeune_fillette.pdf")</f>
        <v>http://lutemusic.org/composers/Bacheler/pdf/la_jeune_fillette.pdf</v>
      </c>
      <c r="AB413" s="0" t="str">
        <f aca="false">HYPERLINK("http://lutemusic.org/composers/Bacheler/midi/la_jeune_fillette.mid")</f>
        <v>http://lutemusic.org/composers/Bacheler/midi/la_jeune_fillette.mid</v>
      </c>
      <c r="AC413" s="0" t="n">
        <v>1573937407</v>
      </c>
      <c r="AD413" s="0" t="n">
        <v>1588468779</v>
      </c>
    </row>
    <row r="414" customFormat="false" ht="12.8" hidden="false" customHeight="false" outlineLevel="0" collapsed="false">
      <c r="A414" s="0" t="s">
        <v>780</v>
      </c>
      <c r="C414" s="0" t="s">
        <v>753</v>
      </c>
      <c r="E414" s="0" t="s">
        <v>418</v>
      </c>
      <c r="F414" s="0" t="s">
        <v>781</v>
      </c>
      <c r="H414" s="0" t="n">
        <v>1610</v>
      </c>
      <c r="I414" s="0" t="s">
        <v>782</v>
      </c>
      <c r="J414" s="0" t="s">
        <v>36</v>
      </c>
      <c r="K414" s="0" t="s">
        <v>36</v>
      </c>
      <c r="P414" s="0" t="s">
        <v>780</v>
      </c>
      <c r="R414" s="0" t="s">
        <v>234</v>
      </c>
      <c r="S414" s="0" t="s">
        <v>84</v>
      </c>
      <c r="T414" s="0" t="n">
        <v>6</v>
      </c>
      <c r="U414" s="0" t="s">
        <v>53</v>
      </c>
      <c r="Y414" s="0" t="str">
        <f aca="false">HYPERLINK("http://lutemusic.org/facsimiles/DowlandR/Varietie_of_Lute_Lessons_1610/o1.png")</f>
        <v>http://lutemusic.org/facsimiles/DowlandR/Varietie_of_Lute_Lessons_1610/o1.png</v>
      </c>
      <c r="Z414" s="0" t="str">
        <f aca="false">HYPERLINK("http://lutemusic.org/composers/Bacheler/monsieur_s_almaine.ft3")</f>
        <v>http://lutemusic.org/composers/Bacheler/monsieur_s_almaine.ft3</v>
      </c>
      <c r="AA414" s="0" t="str">
        <f aca="false">HYPERLINK("http://lutemusic.org/composers/Bacheler/pdf/monsieur_s_almaine.pdf")</f>
        <v>http://lutemusic.org/composers/Bacheler/pdf/monsieur_s_almaine.pdf</v>
      </c>
      <c r="AB414" s="0" t="str">
        <f aca="false">HYPERLINK("http://lutemusic.org/composers/Bacheler/midi/monsieur_s_almaine.mid")</f>
        <v>http://lutemusic.org/composers/Bacheler/midi/monsieur_s_almaine.mid</v>
      </c>
      <c r="AC414" s="0" t="n">
        <v>1573937407</v>
      </c>
      <c r="AD414" s="0" t="n">
        <v>1586042062</v>
      </c>
    </row>
    <row r="415" customFormat="false" ht="12.8" hidden="false" customHeight="false" outlineLevel="0" collapsed="false">
      <c r="A415" s="0" t="s">
        <v>783</v>
      </c>
      <c r="C415" s="0" t="s">
        <v>753</v>
      </c>
      <c r="E415" s="0" t="s">
        <v>74</v>
      </c>
      <c r="F415" s="0" t="s">
        <v>138</v>
      </c>
      <c r="H415" s="0" t="n">
        <v>1595</v>
      </c>
      <c r="I415" s="0" t="s">
        <v>784</v>
      </c>
      <c r="J415" s="0" t="s">
        <v>36</v>
      </c>
      <c r="K415" s="0" t="s">
        <v>36</v>
      </c>
      <c r="P415" s="0" t="s">
        <v>783</v>
      </c>
      <c r="R415" s="0" t="s">
        <v>77</v>
      </c>
      <c r="S415" s="0" t="s">
        <v>62</v>
      </c>
      <c r="T415" s="0" t="n">
        <v>6</v>
      </c>
      <c r="U415" s="0" t="s">
        <v>53</v>
      </c>
      <c r="Y415" s="0" t="str">
        <f aca="false">HYPERLINK("http://lutemusic.org/facsimiles/GB-Cu_Cambridge_University_Library/ms_add_3056_Cosens_lute_book_1595/80v.png")</f>
        <v>http://lutemusic.org/facsimiles/GB-Cu_Cambridge_University_Library/ms_add_3056_Cosens_lute_book_1595/80v.png</v>
      </c>
      <c r="Z415" s="0" t="str">
        <f aca="false">HYPERLINK("http://lutemusic.org/composers/Bacheler/pavan_01_7C.ft3")</f>
        <v>http://lutemusic.org/composers/Bacheler/pavan_01_7C.ft3</v>
      </c>
      <c r="AA415" s="0" t="str">
        <f aca="false">HYPERLINK("http://lutemusic.org/composers/Bacheler/pdf/pavan_01_7C.pdf")</f>
        <v>http://lutemusic.org/composers/Bacheler/pdf/pavan_01_7C.pdf</v>
      </c>
      <c r="AB415" s="0" t="str">
        <f aca="false">HYPERLINK("http://lutemusic.org/composers/Bacheler/midi/pavan_01_7C.mid")</f>
        <v>http://lutemusic.org/composers/Bacheler/midi/pavan_01_7C.mid</v>
      </c>
      <c r="AC415" s="0" t="n">
        <v>1573937407</v>
      </c>
      <c r="AD415" s="0" t="n">
        <v>1588630196</v>
      </c>
    </row>
    <row r="416" customFormat="false" ht="12.8" hidden="false" customHeight="false" outlineLevel="0" collapsed="false">
      <c r="A416" s="0" t="s">
        <v>783</v>
      </c>
      <c r="C416" s="0" t="s">
        <v>753</v>
      </c>
      <c r="E416" s="0" t="s">
        <v>74</v>
      </c>
      <c r="F416" s="0" t="s">
        <v>138</v>
      </c>
      <c r="H416" s="0" t="n">
        <v>1595</v>
      </c>
      <c r="I416" s="0" t="s">
        <v>784</v>
      </c>
      <c r="J416" s="0" t="s">
        <v>36</v>
      </c>
      <c r="K416" s="0" t="s">
        <v>36</v>
      </c>
      <c r="P416" s="0" t="s">
        <v>783</v>
      </c>
      <c r="R416" s="0" t="s">
        <v>77</v>
      </c>
      <c r="S416" s="0" t="s">
        <v>62</v>
      </c>
      <c r="T416" s="0" t="n">
        <v>6</v>
      </c>
      <c r="U416" s="0" t="s">
        <v>143</v>
      </c>
      <c r="Y416" s="0" t="str">
        <f aca="false">HYPERLINK("http://lutemusic.org/facsimiles/GB-Cu_Cambridge_University_Library/ms_add_3056_Cosens_lute_book_1595/80v.png")</f>
        <v>http://lutemusic.org/facsimiles/GB-Cu_Cambridge_University_Library/ms_add_3056_Cosens_lute_book_1595/80v.png</v>
      </c>
      <c r="Z416" s="0" t="str">
        <f aca="false">HYPERLINK("http://lutemusic.org/composers/Bacheler/pavan_01_8C.ft3")</f>
        <v>http://lutemusic.org/composers/Bacheler/pavan_01_8C.ft3</v>
      </c>
      <c r="AA416" s="0" t="str">
        <f aca="false">HYPERLINK("http://lutemusic.org/composers/Bacheler/pdf/pavan_01_8C.pdf")</f>
        <v>http://lutemusic.org/composers/Bacheler/pdf/pavan_01_8C.pdf</v>
      </c>
      <c r="AB416" s="0" t="str">
        <f aca="false">HYPERLINK("http://lutemusic.org/composers/Bacheler/midi/pavan_01_8C.mid")</f>
        <v>http://lutemusic.org/composers/Bacheler/midi/pavan_01_8C.mid</v>
      </c>
      <c r="AC416" s="0" t="n">
        <v>1573937407</v>
      </c>
      <c r="AD416" s="0" t="n">
        <v>1588630196</v>
      </c>
    </row>
    <row r="417" customFormat="false" ht="12.8" hidden="false" customHeight="false" outlineLevel="0" collapsed="false">
      <c r="A417" s="0" t="s">
        <v>785</v>
      </c>
      <c r="C417" s="0" t="s">
        <v>753</v>
      </c>
      <c r="E417" s="0" t="s">
        <v>74</v>
      </c>
      <c r="F417" s="0" t="s">
        <v>141</v>
      </c>
      <c r="H417" s="0" t="n">
        <v>1600</v>
      </c>
      <c r="I417" s="0" t="s">
        <v>348</v>
      </c>
      <c r="J417" s="0" t="s">
        <v>36</v>
      </c>
      <c r="K417" s="0" t="s">
        <v>36</v>
      </c>
      <c r="P417" s="0" t="s">
        <v>785</v>
      </c>
      <c r="R417" s="0" t="s">
        <v>77</v>
      </c>
      <c r="S417" s="0" t="s">
        <v>326</v>
      </c>
      <c r="T417" s="0" t="n">
        <v>6</v>
      </c>
      <c r="U417" s="0" t="s">
        <v>53</v>
      </c>
      <c r="Y417" s="0" t="str">
        <f aca="false">HYPERLINK("http://lutemusic.org/facsimiles/GB-Cu_Cambridge_University_Library/Dd.5.78.3_1600/61v.png")</f>
        <v>http://lutemusic.org/facsimiles/GB-Cu_Cambridge_University_Library/Dd.5.78.3_1600/61v.png</v>
      </c>
      <c r="Z417" s="0" t="str">
        <f aca="false">HYPERLINK("http://lutemusic.org/composers/Bacheler/pavan_02.ft3")</f>
        <v>http://lutemusic.org/composers/Bacheler/pavan_02.ft3</v>
      </c>
      <c r="AA417" s="0" t="str">
        <f aca="false">HYPERLINK("http://lutemusic.org/composers/Bacheler/pdf/pavan_02.pdf")</f>
        <v>http://lutemusic.org/composers/Bacheler/pdf/pavan_02.pdf</v>
      </c>
      <c r="AB417" s="0" t="str">
        <f aca="false">HYPERLINK("http://lutemusic.org/composers/Bacheler/midi/pavan_02.mid")</f>
        <v>http://lutemusic.org/composers/Bacheler/midi/pavan_02.mid</v>
      </c>
      <c r="AC417" s="0" t="n">
        <v>1573937407</v>
      </c>
      <c r="AD417" s="0" t="n">
        <v>1586042062</v>
      </c>
    </row>
    <row r="418" customFormat="false" ht="12.8" hidden="false" customHeight="false" outlineLevel="0" collapsed="false">
      <c r="A418" s="0" t="s">
        <v>786</v>
      </c>
      <c r="C418" s="0" t="s">
        <v>753</v>
      </c>
      <c r="E418" s="0" t="s">
        <v>33</v>
      </c>
      <c r="F418" s="0" t="s">
        <v>191</v>
      </c>
      <c r="H418" s="0" t="n">
        <v>1616</v>
      </c>
      <c r="I418" s="0" t="s">
        <v>787</v>
      </c>
      <c r="J418" s="0" t="s">
        <v>36</v>
      </c>
      <c r="K418" s="0" t="s">
        <v>36</v>
      </c>
      <c r="P418" s="0" t="s">
        <v>786</v>
      </c>
      <c r="R418" s="0" t="s">
        <v>77</v>
      </c>
      <c r="S418" s="0" t="s">
        <v>49</v>
      </c>
      <c r="T418" s="0" t="n">
        <v>5</v>
      </c>
      <c r="U418" s="0" t="s">
        <v>53</v>
      </c>
      <c r="Y418" s="0" t="str">
        <f aca="false">HYPERLINK("http://lutemusic.org/facsimiles/GB-Lbl_British_Library/ms_Eg._2046_Pickering_lute_book_1616/20v.png")</f>
        <v>http://lutemusic.org/facsimiles/GB-Lbl_British_Library/ms_Eg._2046_Pickering_lute_book_1616/20v.png</v>
      </c>
      <c r="Z418" s="0" t="str">
        <f aca="false">HYPERLINK("http://lutemusic.org/composers/Bacheler/pavan_03.ft3")</f>
        <v>http://lutemusic.org/composers/Bacheler/pavan_03.ft3</v>
      </c>
      <c r="AA418" s="0" t="str">
        <f aca="false">HYPERLINK("http://lutemusic.org/composers/Bacheler/pdf/pavan_03.pdf")</f>
        <v>http://lutemusic.org/composers/Bacheler/pdf/pavan_03.pdf</v>
      </c>
      <c r="AB418" s="0" t="str">
        <f aca="false">HYPERLINK("http://lutemusic.org/composers/Bacheler/midi/pavan_03.mid")</f>
        <v>http://lutemusic.org/composers/Bacheler/midi/pavan_03.mid</v>
      </c>
      <c r="AC418" s="0" t="n">
        <v>1573937407</v>
      </c>
      <c r="AD418" s="0" t="n">
        <v>1588630196</v>
      </c>
    </row>
    <row r="419" customFormat="false" ht="12.8" hidden="false" customHeight="false" outlineLevel="0" collapsed="false">
      <c r="A419" s="0" t="s">
        <v>788</v>
      </c>
      <c r="C419" s="0" t="s">
        <v>753</v>
      </c>
      <c r="E419" s="0" t="s">
        <v>74</v>
      </c>
      <c r="F419" s="0" t="s">
        <v>774</v>
      </c>
      <c r="H419" s="0" t="n">
        <v>1610</v>
      </c>
      <c r="I419" s="0" t="s">
        <v>789</v>
      </c>
      <c r="J419" s="0" t="s">
        <v>36</v>
      </c>
      <c r="K419" s="0" t="s">
        <v>36</v>
      </c>
      <c r="P419" s="0" t="s">
        <v>788</v>
      </c>
      <c r="R419" s="0" t="s">
        <v>77</v>
      </c>
      <c r="S419" s="0" t="s">
        <v>66</v>
      </c>
      <c r="T419" s="0" t="n">
        <v>6</v>
      </c>
      <c r="U419" s="0" t="s">
        <v>705</v>
      </c>
      <c r="Y419" s="0" t="str">
        <f aca="false">HYPERLINK("http://lutemusic.org/facsimiles/GB-Cu_Cambridge_University_Library/Nn.6.36b_1610/40.png")</f>
        <v>http://lutemusic.org/facsimiles/GB-Cu_Cambridge_University_Library/Nn.6.36b_1610/40.png</v>
      </c>
      <c r="Z419" s="0" t="str">
        <f aca="false">HYPERLINK("http://lutemusic.org/composers/Bacheler/pavan_04.ft3")</f>
        <v>http://lutemusic.org/composers/Bacheler/pavan_04.ft3</v>
      </c>
      <c r="AA419" s="0" t="str">
        <f aca="false">HYPERLINK("http://lutemusic.org/composers/Bacheler/pdf/pavan_04.pdf")</f>
        <v>http://lutemusic.org/composers/Bacheler/pdf/pavan_04.pdf</v>
      </c>
      <c r="AB419" s="0" t="str">
        <f aca="false">HYPERLINK("http://lutemusic.org/composers/Bacheler/midi/pavan_04.mid")</f>
        <v>http://lutemusic.org/composers/Bacheler/midi/pavan_04.mid</v>
      </c>
      <c r="AC419" s="0" t="n">
        <v>1573937407</v>
      </c>
      <c r="AD419" s="0" t="n">
        <v>1586042062</v>
      </c>
    </row>
    <row r="420" customFormat="false" ht="12.8" hidden="false" customHeight="false" outlineLevel="0" collapsed="false">
      <c r="A420" s="0" t="s">
        <v>337</v>
      </c>
      <c r="C420" s="0" t="s">
        <v>753</v>
      </c>
      <c r="E420" s="0" t="s">
        <v>418</v>
      </c>
      <c r="F420" s="0" t="s">
        <v>781</v>
      </c>
      <c r="H420" s="0" t="n">
        <v>1610</v>
      </c>
      <c r="I420" s="0" t="s">
        <v>482</v>
      </c>
      <c r="J420" s="0" t="s">
        <v>36</v>
      </c>
      <c r="K420" s="0" t="s">
        <v>36</v>
      </c>
      <c r="P420" s="0" t="s">
        <v>337</v>
      </c>
      <c r="R420" s="0" t="s">
        <v>77</v>
      </c>
      <c r="S420" s="0" t="s">
        <v>66</v>
      </c>
      <c r="T420" s="0" t="n">
        <v>6</v>
      </c>
      <c r="U420" s="0" t="s">
        <v>53</v>
      </c>
      <c r="Y420" s="0" t="str">
        <f aca="false">HYPERLINK("http://lutemusic.org/facsimiles/DowlandR/Varietie_of_Lute_Lessons_1610/i2v.png")</f>
        <v>http://lutemusic.org/facsimiles/DowlandR/Varietie_of_Lute_Lessons_1610/i2v.png</v>
      </c>
      <c r="Z420" s="0" t="str">
        <f aca="false">HYPERLINK("http://lutemusic.org/composers/Bacheler/pavan_from_varietie.ft3")</f>
        <v>http://lutemusic.org/composers/Bacheler/pavan_from_varietie.ft3</v>
      </c>
      <c r="AA420" s="0" t="str">
        <f aca="false">HYPERLINK("http://lutemusic.org/composers/Bacheler/pdf/pavan_from_varietie.pdf")</f>
        <v>http://lutemusic.org/composers/Bacheler/pdf/pavan_from_varietie.pdf</v>
      </c>
      <c r="AB420" s="0" t="str">
        <f aca="false">HYPERLINK("http://lutemusic.org/composers/Bacheler/midi/pavan_from_varietie.mid")</f>
        <v>http://lutemusic.org/composers/Bacheler/midi/pavan_from_varietie.mid</v>
      </c>
      <c r="AC420" s="0" t="n">
        <v>1573937407</v>
      </c>
      <c r="AD420" s="0" t="n">
        <v>1586042062</v>
      </c>
    </row>
    <row r="421" customFormat="false" ht="12.8" hidden="false" customHeight="false" outlineLevel="0" collapsed="false">
      <c r="A421" s="0" t="s">
        <v>97</v>
      </c>
      <c r="C421" s="0" t="s">
        <v>753</v>
      </c>
      <c r="E421" s="0" t="s">
        <v>449</v>
      </c>
      <c r="F421" s="0" t="s">
        <v>754</v>
      </c>
      <c r="H421" s="0" t="n">
        <v>1610</v>
      </c>
      <c r="J421" s="0" t="s">
        <v>36</v>
      </c>
      <c r="K421" s="0" t="s">
        <v>36</v>
      </c>
      <c r="P421" s="0" t="s">
        <v>97</v>
      </c>
      <c r="R421" s="0" t="s">
        <v>672</v>
      </c>
      <c r="S421" s="0" t="s">
        <v>66</v>
      </c>
      <c r="T421" s="0" t="n">
        <v>2</v>
      </c>
      <c r="U421" s="0" t="s">
        <v>705</v>
      </c>
      <c r="Z421" s="0" t="str">
        <f aca="false">HYPERLINK("http://lutemusic.org/composers/Bacheler/prelude.ft3")</f>
        <v>http://lutemusic.org/composers/Bacheler/prelude.ft3</v>
      </c>
      <c r="AA421" s="0" t="str">
        <f aca="false">HYPERLINK("http://lutemusic.org/composers/Bacheler/pdf/prelude.pdf")</f>
        <v>http://lutemusic.org/composers/Bacheler/pdf/prelude.pdf</v>
      </c>
      <c r="AB421" s="0" t="str">
        <f aca="false">HYPERLINK("http://lutemusic.org/composers/Bacheler/midi/prelude.mid")</f>
        <v>http://lutemusic.org/composers/Bacheler/midi/prelude.mid</v>
      </c>
      <c r="AC421" s="0" t="n">
        <v>1573937407</v>
      </c>
      <c r="AD421" s="0" t="n">
        <v>1588468779</v>
      </c>
    </row>
    <row r="422" customFormat="false" ht="12.8" hidden="false" customHeight="false" outlineLevel="0" collapsed="false">
      <c r="A422" s="0" t="s">
        <v>790</v>
      </c>
      <c r="C422" s="0" t="s">
        <v>753</v>
      </c>
      <c r="E422" s="0" t="s">
        <v>418</v>
      </c>
      <c r="F422" s="0" t="s">
        <v>419</v>
      </c>
      <c r="H422" s="0" t="n">
        <v>1610</v>
      </c>
      <c r="I422" s="0" t="s">
        <v>791</v>
      </c>
      <c r="J422" s="0" t="s">
        <v>36</v>
      </c>
      <c r="K422" s="0" t="s">
        <v>36</v>
      </c>
      <c r="P422" s="0" t="s">
        <v>790</v>
      </c>
      <c r="R422" s="0" t="s">
        <v>51</v>
      </c>
      <c r="S422" s="0" t="s">
        <v>66</v>
      </c>
      <c r="T422" s="0" t="n">
        <v>3</v>
      </c>
      <c r="U422" s="0" t="s">
        <v>422</v>
      </c>
      <c r="V422" s="0" t="s">
        <v>40</v>
      </c>
      <c r="Y422" s="0" t="str">
        <f aca="false">HYPERLINK("http://lutemusic.org/facsimiles/DowlandR/A_Musicall_Banquet_1610/d2v.png")</f>
        <v>http://lutemusic.org/facsimiles/DowlandR/A_Musicall_Banquet_1610/d2v.png</v>
      </c>
      <c r="Z422" s="0" t="str">
        <f aca="false">HYPERLINK("http://lutemusic.org/composers/Bacheler/songs/to_plead_my_faith/to_plead_my_faith.ft3")</f>
        <v>http://lutemusic.org/composers/Bacheler/songs/to_plead_my_faith/to_plead_my_faith.ft3</v>
      </c>
      <c r="AA422" s="0" t="str">
        <f aca="false">HYPERLINK("http://lutemusic.org/composers/Bacheler/songs/to_plead_my_faith/pdf/to_plead_my_faith.pdf")</f>
        <v>http://lutemusic.org/composers/Bacheler/songs/to_plead_my_faith/pdf/to_plead_my_faith.pdf</v>
      </c>
      <c r="AB422" s="0" t="str">
        <f aca="false">HYPERLINK("http://lutemusic.org/composers/Bacheler/songs/to_plead_my_faith/midi/to_plead_my_faith.mid")</f>
        <v>http://lutemusic.org/composers/Bacheler/songs/to_plead_my_faith/midi/to_plead_my_faith.mid</v>
      </c>
      <c r="AC422" s="0" t="n">
        <v>1573937407</v>
      </c>
      <c r="AD422" s="0" t="n">
        <v>1586042062</v>
      </c>
    </row>
    <row r="423" customFormat="false" ht="12.8" hidden="false" customHeight="false" outlineLevel="0" collapsed="false">
      <c r="A423" s="0" t="s">
        <v>790</v>
      </c>
      <c r="C423" s="0" t="s">
        <v>753</v>
      </c>
      <c r="E423" s="0" t="s">
        <v>418</v>
      </c>
      <c r="F423" s="0" t="s">
        <v>419</v>
      </c>
      <c r="H423" s="0" t="n">
        <v>1610</v>
      </c>
      <c r="I423" s="0" t="s">
        <v>791</v>
      </c>
      <c r="J423" s="0" t="s">
        <v>36</v>
      </c>
      <c r="K423" s="0" t="s">
        <v>36</v>
      </c>
      <c r="P423" s="0" t="s">
        <v>790</v>
      </c>
      <c r="R423" s="0" t="s">
        <v>51</v>
      </c>
      <c r="S423" s="0" t="s">
        <v>66</v>
      </c>
      <c r="T423" s="0" t="n">
        <v>3</v>
      </c>
      <c r="U423" s="0" t="s">
        <v>422</v>
      </c>
      <c r="V423" s="0" t="s">
        <v>63</v>
      </c>
      <c r="Y423" s="0" t="str">
        <f aca="false">HYPERLINK("http://lutemusic.org/facsimiles/DowlandR/A_Musicall_Banquet_1610/d2v.png")</f>
        <v>http://lutemusic.org/facsimiles/DowlandR/A_Musicall_Banquet_1610/d2v.png</v>
      </c>
      <c r="Z423" s="0" t="str">
        <f aca="false">HYPERLINK("http://lutemusic.org/composers/Bacheler/songs/to_plead_my_faith/to_plead_my_faith_T.ft3")</f>
        <v>http://lutemusic.org/composers/Bacheler/songs/to_plead_my_faith/to_plead_my_faith_T.ft3</v>
      </c>
      <c r="AA423" s="0" t="str">
        <f aca="false">HYPERLINK("http://lutemusic.org/composers/Bacheler/songs/to_plead_my_faith/pdf/to_plead_my_faith_T.pdf")</f>
        <v>http://lutemusic.org/composers/Bacheler/songs/to_plead_my_faith/pdf/to_plead_my_faith_T.pdf</v>
      </c>
      <c r="AB423" s="0" t="str">
        <f aca="false">HYPERLINK("http://lutemusic.org/composers/Bacheler/songs/to_plead_my_faith/midi/to_plead_my_faith_T.mid")</f>
        <v>http://lutemusic.org/composers/Bacheler/songs/to_plead_my_faith/midi/to_plead_my_faith_T.mid</v>
      </c>
      <c r="AC423" s="0" t="n">
        <v>1573937407</v>
      </c>
      <c r="AD423" s="0" t="n">
        <v>1586042062</v>
      </c>
    </row>
    <row r="424" customFormat="false" ht="12.8" hidden="false" customHeight="false" outlineLevel="0" collapsed="false">
      <c r="A424" s="0" t="s">
        <v>792</v>
      </c>
      <c r="B424" s="0" t="s">
        <v>793</v>
      </c>
      <c r="C424" s="0" t="s">
        <v>794</v>
      </c>
      <c r="E424" s="0" t="s">
        <v>795</v>
      </c>
      <c r="F424" s="0" t="s">
        <v>796</v>
      </c>
      <c r="H424" s="0" t="n">
        <v>1571</v>
      </c>
      <c r="I424" s="0" t="s">
        <v>797</v>
      </c>
      <c r="J424" s="0" t="s">
        <v>36</v>
      </c>
      <c r="K424" s="0" t="s">
        <v>36</v>
      </c>
      <c r="P424" s="0" t="s">
        <v>792</v>
      </c>
      <c r="R424" s="0" t="s">
        <v>83</v>
      </c>
      <c r="S424" s="0" t="s">
        <v>119</v>
      </c>
      <c r="T424" s="0" t="n">
        <v>3</v>
      </c>
      <c r="U424" s="0" t="s">
        <v>63</v>
      </c>
      <c r="Z424" s="0" t="str">
        <f aca="false">HYPERLINK("http://lutemusic.org/composers/Bakfark/czarna_krowa.ft3")</f>
        <v>http://lutemusic.org/composers/Bakfark/czarna_krowa.ft3</v>
      </c>
      <c r="AA424" s="0" t="str">
        <f aca="false">HYPERLINK("http://lutemusic.org/composers/Bakfark/pdf/czarna_krowa.pdf")</f>
        <v>http://lutemusic.org/composers/Bakfark/pdf/czarna_krowa.pdf</v>
      </c>
      <c r="AB424" s="0" t="str">
        <f aca="false">HYPERLINK("http://lutemusic.org/composers/Bakfark/midi/czarna_krowa.mid")</f>
        <v>http://lutemusic.org/composers/Bakfark/midi/czarna_krowa.mid</v>
      </c>
      <c r="AC424" s="0" t="n">
        <v>1573937407</v>
      </c>
      <c r="AD424" s="0" t="n">
        <v>1586042062</v>
      </c>
    </row>
    <row r="425" customFormat="false" ht="12.8" hidden="false" customHeight="false" outlineLevel="0" collapsed="false">
      <c r="A425" s="0" t="s">
        <v>798</v>
      </c>
      <c r="B425" s="0" t="s">
        <v>799</v>
      </c>
      <c r="C425" s="0" t="s">
        <v>794</v>
      </c>
      <c r="D425" s="0" t="s">
        <v>800</v>
      </c>
      <c r="E425" s="0" t="s">
        <v>795</v>
      </c>
      <c r="F425" s="0" t="s">
        <v>796</v>
      </c>
      <c r="H425" s="0" t="n">
        <v>1571</v>
      </c>
      <c r="I425" s="0" t="s">
        <v>801</v>
      </c>
      <c r="J425" s="0" t="s">
        <v>36</v>
      </c>
      <c r="K425" s="0" t="s">
        <v>36</v>
      </c>
      <c r="P425" s="0" t="s">
        <v>798</v>
      </c>
      <c r="R425" s="0" t="s">
        <v>83</v>
      </c>
      <c r="S425" s="0" t="s">
        <v>119</v>
      </c>
      <c r="T425" s="0" t="n">
        <v>4</v>
      </c>
      <c r="U425" s="0" t="s">
        <v>63</v>
      </c>
      <c r="Z425" s="0" t="str">
        <f aca="false">HYPERLINK("http://lutemusic.org/composers/Bakfark/douce_memoire.ft3")</f>
        <v>http://lutemusic.org/composers/Bakfark/douce_memoire.ft3</v>
      </c>
      <c r="AA425" s="0" t="str">
        <f aca="false">HYPERLINK("http://lutemusic.org/composers/Bakfark/pdf/douce_memoire.pdf")</f>
        <v>http://lutemusic.org/composers/Bakfark/pdf/douce_memoire.pdf</v>
      </c>
      <c r="AB425" s="0" t="str">
        <f aca="false">HYPERLINK("http://lutemusic.org/composers/Bakfark/midi/douce_memoire.mid")</f>
        <v>http://lutemusic.org/composers/Bakfark/midi/douce_memoire.mid</v>
      </c>
      <c r="AC425" s="0" t="n">
        <v>1573937407</v>
      </c>
      <c r="AD425" s="0" t="n">
        <v>1586042062</v>
      </c>
    </row>
    <row r="426" customFormat="false" ht="12.8" hidden="false" customHeight="false" outlineLevel="0" collapsed="false">
      <c r="A426" s="0" t="s">
        <v>802</v>
      </c>
      <c r="C426" s="0" t="s">
        <v>794</v>
      </c>
      <c r="E426" s="0" t="s">
        <v>795</v>
      </c>
      <c r="F426" s="0" t="s">
        <v>796</v>
      </c>
      <c r="H426" s="0" t="n">
        <v>1571</v>
      </c>
      <c r="I426" s="0" t="s">
        <v>213</v>
      </c>
      <c r="J426" s="0" t="s">
        <v>36</v>
      </c>
      <c r="K426" s="0" t="s">
        <v>36</v>
      </c>
      <c r="P426" s="0" t="s">
        <v>802</v>
      </c>
      <c r="R426" s="0" t="s">
        <v>61</v>
      </c>
      <c r="S426" s="0" t="s">
        <v>119</v>
      </c>
      <c r="T426" s="0" t="n">
        <v>5</v>
      </c>
      <c r="U426" s="0" t="s">
        <v>63</v>
      </c>
      <c r="Z426" s="0" t="str">
        <f aca="false">HYPERLINK("http://lutemusic.org/composers/Bakfark/fantasia_08.ft3")</f>
        <v>http://lutemusic.org/composers/Bakfark/fantasia_08.ft3</v>
      </c>
      <c r="AA426" s="0" t="str">
        <f aca="false">HYPERLINK("http://lutemusic.org/composers/Bakfark/pdf/fantasia_08.pdf")</f>
        <v>http://lutemusic.org/composers/Bakfark/pdf/fantasia_08.pdf</v>
      </c>
      <c r="AB426" s="0" t="str">
        <f aca="false">HYPERLINK("http://lutemusic.org/composers/Bakfark/midi/fantasia_08.mid")</f>
        <v>http://lutemusic.org/composers/Bakfark/midi/fantasia_08.mid</v>
      </c>
      <c r="AC426" s="0" t="n">
        <v>1573937407</v>
      </c>
      <c r="AD426" s="0" t="n">
        <v>1586042062</v>
      </c>
    </row>
    <row r="427" customFormat="false" ht="12.8" hidden="false" customHeight="false" outlineLevel="0" collapsed="false">
      <c r="A427" s="0" t="s">
        <v>803</v>
      </c>
      <c r="C427" s="0" t="s">
        <v>794</v>
      </c>
      <c r="E427" s="0" t="s">
        <v>795</v>
      </c>
      <c r="F427" s="0" t="s">
        <v>796</v>
      </c>
      <c r="H427" s="0" t="n">
        <v>1571</v>
      </c>
      <c r="I427" s="0" t="s">
        <v>308</v>
      </c>
      <c r="J427" s="0" t="s">
        <v>36</v>
      </c>
      <c r="K427" s="0" t="s">
        <v>36</v>
      </c>
      <c r="P427" s="0" t="s">
        <v>803</v>
      </c>
      <c r="R427" s="0" t="s">
        <v>61</v>
      </c>
      <c r="S427" s="0" t="s">
        <v>66</v>
      </c>
      <c r="T427" s="0" t="n">
        <v>3</v>
      </c>
      <c r="U427" s="0" t="s">
        <v>63</v>
      </c>
      <c r="Z427" s="0" t="str">
        <f aca="false">HYPERLINK("http://lutemusic.org/composers/Bakfark/fantasia_09.ft3")</f>
        <v>http://lutemusic.org/composers/Bakfark/fantasia_09.ft3</v>
      </c>
      <c r="AA427" s="0" t="str">
        <f aca="false">HYPERLINK("http://lutemusic.org/composers/Bakfark/pdf/fantasia_09.pdf")</f>
        <v>http://lutemusic.org/composers/Bakfark/pdf/fantasia_09.pdf</v>
      </c>
      <c r="AB427" s="0" t="str">
        <f aca="false">HYPERLINK("http://lutemusic.org/composers/Bakfark/midi/fantasia_09.mid")</f>
        <v>http://lutemusic.org/composers/Bakfark/midi/fantasia_09.mid</v>
      </c>
      <c r="AC427" s="0" t="n">
        <v>1573937407</v>
      </c>
      <c r="AD427" s="0" t="n">
        <v>1586042062</v>
      </c>
    </row>
    <row r="428" customFormat="false" ht="12.8" hidden="false" customHeight="false" outlineLevel="0" collapsed="false">
      <c r="A428" s="0" t="s">
        <v>383</v>
      </c>
      <c r="C428" s="0" t="s">
        <v>794</v>
      </c>
      <c r="E428" s="0" t="s">
        <v>795</v>
      </c>
      <c r="F428" s="0" t="s">
        <v>796</v>
      </c>
      <c r="H428" s="0" t="n">
        <v>1571</v>
      </c>
      <c r="I428" s="0" t="s">
        <v>804</v>
      </c>
      <c r="J428" s="0" t="s">
        <v>36</v>
      </c>
      <c r="K428" s="0" t="s">
        <v>36</v>
      </c>
      <c r="P428" s="0" t="s">
        <v>383</v>
      </c>
      <c r="R428" s="0" t="s">
        <v>61</v>
      </c>
      <c r="S428" s="0" t="s">
        <v>38</v>
      </c>
      <c r="T428" s="0" t="n">
        <v>3</v>
      </c>
      <c r="U428" s="0" t="s">
        <v>63</v>
      </c>
      <c r="Z428" s="0" t="str">
        <f aca="false">HYPERLINK("http://lutemusic.org/composers/Bakfark/fantasia_10.ft3")</f>
        <v>http://lutemusic.org/composers/Bakfark/fantasia_10.ft3</v>
      </c>
      <c r="AA428" s="0" t="str">
        <f aca="false">HYPERLINK("http://lutemusic.org/composers/Bakfark/pdf/fantasia_10.pdf")</f>
        <v>http://lutemusic.org/composers/Bakfark/pdf/fantasia_10.pdf</v>
      </c>
      <c r="AB428" s="0" t="str">
        <f aca="false">HYPERLINK("http://lutemusic.org/composers/Bakfark/midi/fantasia_10.mid")</f>
        <v>http://lutemusic.org/composers/Bakfark/midi/fantasia_10.mid</v>
      </c>
      <c r="AC428" s="0" t="n">
        <v>1573937407</v>
      </c>
      <c r="AD428" s="0" t="n">
        <v>1586042062</v>
      </c>
    </row>
    <row r="429" customFormat="false" ht="12.8" hidden="false" customHeight="false" outlineLevel="0" collapsed="false">
      <c r="A429" s="0" t="s">
        <v>303</v>
      </c>
      <c r="C429" s="0" t="s">
        <v>794</v>
      </c>
      <c r="E429" s="0" t="s">
        <v>805</v>
      </c>
      <c r="F429" s="0" t="s">
        <v>806</v>
      </c>
      <c r="H429" s="0" t="n">
        <v>1604</v>
      </c>
      <c r="I429" s="0" t="s">
        <v>807</v>
      </c>
      <c r="J429" s="0" t="s">
        <v>59</v>
      </c>
      <c r="K429" s="0" t="s">
        <v>59</v>
      </c>
      <c r="P429" s="0" t="s">
        <v>303</v>
      </c>
      <c r="R429" s="0" t="s">
        <v>202</v>
      </c>
      <c r="S429" s="0" t="s">
        <v>49</v>
      </c>
      <c r="T429" s="0" t="n">
        <v>2</v>
      </c>
      <c r="U429" s="0" t="s">
        <v>53</v>
      </c>
      <c r="Z429" s="0" t="str">
        <f aca="false">HYPERLINK("http://lutemusic.org/composers/Bakfark/gagliarda.ft3")</f>
        <v>http://lutemusic.org/composers/Bakfark/gagliarda.ft3</v>
      </c>
      <c r="AA429" s="0" t="str">
        <f aca="false">HYPERLINK("http://lutemusic.org/composers/Bakfark/pdf/gagliarda.pdf")</f>
        <v>http://lutemusic.org/composers/Bakfark/pdf/gagliarda.pdf</v>
      </c>
      <c r="AB429" s="0" t="str">
        <f aca="false">HYPERLINK("http://lutemusic.org/composers/Bakfark/midi/gagliarda.mid")</f>
        <v>http://lutemusic.org/composers/Bakfark/midi/gagliarda.mid</v>
      </c>
      <c r="AC429" s="0" t="n">
        <v>1573937407</v>
      </c>
      <c r="AD429" s="0" t="n">
        <v>1586042062</v>
      </c>
    </row>
    <row r="430" customFormat="false" ht="12.8" hidden="false" customHeight="false" outlineLevel="0" collapsed="false">
      <c r="A430" s="0" t="s">
        <v>808</v>
      </c>
      <c r="B430" s="0" t="s">
        <v>809</v>
      </c>
      <c r="C430" s="0" t="s">
        <v>794</v>
      </c>
      <c r="E430" s="0" t="s">
        <v>810</v>
      </c>
      <c r="F430" s="0" t="s">
        <v>811</v>
      </c>
      <c r="H430" s="0" t="n">
        <v>1552</v>
      </c>
      <c r="I430" s="0" t="s">
        <v>812</v>
      </c>
      <c r="J430" s="0" t="s">
        <v>36</v>
      </c>
      <c r="K430" s="0" t="s">
        <v>36</v>
      </c>
      <c r="P430" s="0" t="s">
        <v>808</v>
      </c>
      <c r="R430" s="0" t="s">
        <v>83</v>
      </c>
      <c r="S430" s="0" t="s">
        <v>119</v>
      </c>
      <c r="T430" s="0" t="n">
        <v>3</v>
      </c>
      <c r="U430" s="0" t="s">
        <v>63</v>
      </c>
      <c r="Z430" s="0" t="str">
        <f aca="false">HYPERLINK("http://lutemusic.org/composers/Bakfark/je_prens_en_gre.ft3")</f>
        <v>http://lutemusic.org/composers/Bakfark/je_prens_en_gre.ft3</v>
      </c>
      <c r="AA430" s="0" t="str">
        <f aca="false">HYPERLINK("http://lutemusic.org/composers/Bakfark/pdf/je_prens_en_gre.pdf")</f>
        <v>http://lutemusic.org/composers/Bakfark/pdf/je_prens_en_gre.pdf</v>
      </c>
      <c r="AB430" s="0" t="str">
        <f aca="false">HYPERLINK("http://lutemusic.org/composers/Bakfark/midi/je_prens_en_gre.mid")</f>
        <v>http://lutemusic.org/composers/Bakfark/midi/je_prens_en_gre.mid</v>
      </c>
      <c r="AC430" s="0" t="n">
        <v>1573937407</v>
      </c>
      <c r="AD430" s="0" t="n">
        <v>1586042062</v>
      </c>
    </row>
    <row r="431" customFormat="false" ht="12.8" hidden="false" customHeight="false" outlineLevel="0" collapsed="false">
      <c r="A431" s="0" t="s">
        <v>813</v>
      </c>
      <c r="B431" s="0" t="s">
        <v>303</v>
      </c>
      <c r="C431" s="0" t="s">
        <v>794</v>
      </c>
      <c r="E431" s="0" t="s">
        <v>814</v>
      </c>
      <c r="F431" s="0" t="s">
        <v>815</v>
      </c>
      <c r="H431" s="0" t="n">
        <v>1560</v>
      </c>
      <c r="I431" s="0" t="s">
        <v>816</v>
      </c>
      <c r="J431" s="0" t="s">
        <v>36</v>
      </c>
      <c r="K431" s="0" t="s">
        <v>36</v>
      </c>
      <c r="P431" s="0" t="s">
        <v>813</v>
      </c>
      <c r="R431" s="0" t="s">
        <v>202</v>
      </c>
      <c r="S431" s="0" t="s">
        <v>49</v>
      </c>
      <c r="T431" s="0" t="n">
        <v>2</v>
      </c>
      <c r="U431" s="0" t="s">
        <v>63</v>
      </c>
      <c r="Z431" s="0" t="str">
        <f aca="false">HYPERLINK("http://lutemusic.org/composers/Bakfark/non_dite_mai.ft3")</f>
        <v>http://lutemusic.org/composers/Bakfark/non_dite_mai.ft3</v>
      </c>
      <c r="AA431" s="0" t="str">
        <f aca="false">HYPERLINK("http://lutemusic.org/composers/Bakfark/pdf/non_dite_mai.pdf")</f>
        <v>http://lutemusic.org/composers/Bakfark/pdf/non_dite_mai.pdf</v>
      </c>
      <c r="AB431" s="0" t="str">
        <f aca="false">HYPERLINK("http://lutemusic.org/composers/Bakfark/midi/non_dite_mai.mid")</f>
        <v>http://lutemusic.org/composers/Bakfark/midi/non_dite_mai.mid</v>
      </c>
      <c r="AC431" s="0" t="n">
        <v>1573937407</v>
      </c>
      <c r="AD431" s="0" t="n">
        <v>1586042062</v>
      </c>
    </row>
    <row r="432" customFormat="false" ht="12.8" hidden="false" customHeight="false" outlineLevel="0" collapsed="false">
      <c r="A432" s="0" t="s">
        <v>817</v>
      </c>
      <c r="B432" s="0" t="s">
        <v>818</v>
      </c>
      <c r="C432" s="0" t="s">
        <v>794</v>
      </c>
      <c r="E432" s="0" t="s">
        <v>795</v>
      </c>
      <c r="F432" s="0" t="s">
        <v>796</v>
      </c>
      <c r="H432" s="0" t="n">
        <v>1571</v>
      </c>
      <c r="I432" s="0" t="s">
        <v>819</v>
      </c>
      <c r="J432" s="0" t="s">
        <v>36</v>
      </c>
      <c r="K432" s="0" t="s">
        <v>36</v>
      </c>
      <c r="P432" s="0" t="s">
        <v>817</v>
      </c>
      <c r="R432" s="0" t="s">
        <v>820</v>
      </c>
      <c r="S432" s="0" t="s">
        <v>119</v>
      </c>
      <c r="T432" s="0" t="n">
        <v>3</v>
      </c>
      <c r="U432" s="0" t="s">
        <v>63</v>
      </c>
      <c r="Z432" s="0" t="str">
        <f aca="false">HYPERLINK("http://lutemusic.org/composers/Bakfark/pace_non_trovo.ft3")</f>
        <v>http://lutemusic.org/composers/Bakfark/pace_non_trovo.ft3</v>
      </c>
      <c r="AA432" s="0" t="str">
        <f aca="false">HYPERLINK("http://lutemusic.org/composers/Bakfark/pdf/pace_non_trovo.pdf")</f>
        <v>http://lutemusic.org/composers/Bakfark/pdf/pace_non_trovo.pdf</v>
      </c>
      <c r="AB432" s="0" t="str">
        <f aca="false">HYPERLINK("http://lutemusic.org/composers/Bakfark/midi/pace_non_trovo.mid")</f>
        <v>http://lutemusic.org/composers/Bakfark/midi/pace_non_trovo.mid</v>
      </c>
      <c r="AC432" s="0" t="n">
        <v>1573937407</v>
      </c>
      <c r="AD432" s="0" t="n">
        <v>1586042062</v>
      </c>
    </row>
    <row r="433" customFormat="false" ht="12.8" hidden="false" customHeight="false" outlineLevel="0" collapsed="false">
      <c r="A433" s="0" t="s">
        <v>821</v>
      </c>
      <c r="C433" s="0" t="s">
        <v>794</v>
      </c>
      <c r="E433" s="0" t="s">
        <v>805</v>
      </c>
      <c r="F433" s="0" t="s">
        <v>806</v>
      </c>
      <c r="H433" s="0" t="n">
        <v>1604</v>
      </c>
      <c r="I433" s="0" t="s">
        <v>822</v>
      </c>
      <c r="J433" s="0" t="s">
        <v>59</v>
      </c>
      <c r="K433" s="0" t="s">
        <v>59</v>
      </c>
      <c r="P433" s="0" t="s">
        <v>821</v>
      </c>
      <c r="R433" s="0" t="s">
        <v>823</v>
      </c>
      <c r="S433" s="0" t="s">
        <v>62</v>
      </c>
      <c r="T433" s="0" t="n">
        <v>3</v>
      </c>
      <c r="U433" s="0" t="s">
        <v>63</v>
      </c>
      <c r="Z433" s="0" t="str">
        <f aca="false">HYPERLINK("http://lutemusic.org/composers/Bakfark/schoener_deutscher_dantz.ft3")</f>
        <v>http://lutemusic.org/composers/Bakfark/schoener_deutscher_dantz.ft3</v>
      </c>
      <c r="AA433" s="0" t="str">
        <f aca="false">HYPERLINK("http://lutemusic.org/composers/Bakfark/pdf/schoener_deutscher_dantz.pdf")</f>
        <v>http://lutemusic.org/composers/Bakfark/pdf/schoener_deutscher_dantz.pdf</v>
      </c>
      <c r="AB433" s="0" t="str">
        <f aca="false">HYPERLINK("http://lutemusic.org/composers/Bakfark/midi/schoener_deutscher_dantz.mid")</f>
        <v>http://lutemusic.org/composers/Bakfark/midi/schoener_deutscher_dantz.mid</v>
      </c>
      <c r="AC433" s="0" t="n">
        <v>1573937407</v>
      </c>
      <c r="AD433" s="0" t="n">
        <v>1586042062</v>
      </c>
    </row>
    <row r="434" customFormat="false" ht="12.8" hidden="false" customHeight="false" outlineLevel="0" collapsed="false">
      <c r="A434" s="0" t="s">
        <v>824</v>
      </c>
      <c r="C434" s="0" t="s">
        <v>794</v>
      </c>
      <c r="E434" s="0" t="s">
        <v>795</v>
      </c>
      <c r="F434" s="0" t="s">
        <v>796</v>
      </c>
      <c r="H434" s="0" t="n">
        <v>1570</v>
      </c>
      <c r="I434" s="0" t="s">
        <v>825</v>
      </c>
      <c r="J434" s="0" t="s">
        <v>36</v>
      </c>
      <c r="K434" s="0" t="s">
        <v>36</v>
      </c>
      <c r="P434" s="0" t="s">
        <v>824</v>
      </c>
      <c r="R434" s="0" t="s">
        <v>826</v>
      </c>
      <c r="S434" s="0" t="s">
        <v>38</v>
      </c>
      <c r="T434" s="0" t="n">
        <v>3</v>
      </c>
      <c r="U434" s="0" t="s">
        <v>63</v>
      </c>
      <c r="Z434" s="0" t="str">
        <f aca="false">HYPERLINK("http://lutemusic.org/composers/Bakfark/stabat_mater.ft3")</f>
        <v>http://lutemusic.org/composers/Bakfark/stabat_mater.ft3</v>
      </c>
      <c r="AA434" s="0" t="str">
        <f aca="false">HYPERLINK("http://lutemusic.org/composers/Bakfark/pdf/stabat_mater.pdf")</f>
        <v>http://lutemusic.org/composers/Bakfark/pdf/stabat_mater.pdf</v>
      </c>
      <c r="AB434" s="0" t="str">
        <f aca="false">HYPERLINK("http://lutemusic.org/composers/Bakfark/midi/stabat_mater.mid")</f>
        <v>http://lutemusic.org/composers/Bakfark/midi/stabat_mater.mid</v>
      </c>
      <c r="AC434" s="0" t="n">
        <v>1573937407</v>
      </c>
      <c r="AD434" s="0" t="n">
        <v>1586042062</v>
      </c>
    </row>
    <row r="435" customFormat="false" ht="12.8" hidden="false" customHeight="false" outlineLevel="0" collapsed="false">
      <c r="A435" s="0" t="s">
        <v>827</v>
      </c>
      <c r="C435" s="0" t="s">
        <v>828</v>
      </c>
      <c r="E435" s="0" t="s">
        <v>828</v>
      </c>
      <c r="F435" s="0" t="s">
        <v>386</v>
      </c>
      <c r="H435" s="0" t="n">
        <v>1615</v>
      </c>
      <c r="I435" s="0" t="s">
        <v>322</v>
      </c>
      <c r="J435" s="0" t="s">
        <v>36</v>
      </c>
      <c r="K435" s="0" t="s">
        <v>36</v>
      </c>
      <c r="P435" s="0" t="s">
        <v>827</v>
      </c>
      <c r="R435" s="0" t="s">
        <v>283</v>
      </c>
      <c r="S435" s="0" t="s">
        <v>38</v>
      </c>
      <c r="T435" s="0" t="n">
        <v>2</v>
      </c>
      <c r="U435" s="0" t="s">
        <v>244</v>
      </c>
      <c r="Z435" s="0" t="str">
        <f aca="false">HYPERLINK("http://lutemusic.org/composers/Ballard/ballard_courante.ft3")</f>
        <v>http://lutemusic.org/composers/Ballard/ballard_courante.ft3</v>
      </c>
      <c r="AA435" s="0" t="str">
        <f aca="false">HYPERLINK("http://lutemusic.org/composers/Ballard/pdf/ballard_courante.pdf")</f>
        <v>http://lutemusic.org/composers/Ballard/pdf/ballard_courante.pdf</v>
      </c>
      <c r="AB435" s="0" t="str">
        <f aca="false">HYPERLINK("http://lutemusic.org/composers/Ballard/midi/ballard_courante.mid")</f>
        <v>http://lutemusic.org/composers/Ballard/midi/ballard_courante.mid</v>
      </c>
      <c r="AC435" s="0" t="n">
        <v>1573937407</v>
      </c>
      <c r="AD435" s="0" t="n">
        <v>1586042062</v>
      </c>
    </row>
    <row r="436" customFormat="false" ht="12.8" hidden="false" customHeight="false" outlineLevel="0" collapsed="false">
      <c r="A436" s="0" t="s">
        <v>829</v>
      </c>
      <c r="C436" s="0" t="s">
        <v>830</v>
      </c>
      <c r="E436" s="0" t="s">
        <v>830</v>
      </c>
      <c r="F436" s="0" t="s">
        <v>831</v>
      </c>
      <c r="H436" s="0" t="n">
        <v>1585</v>
      </c>
      <c r="J436" s="0" t="s">
        <v>36</v>
      </c>
      <c r="K436" s="0" t="s">
        <v>36</v>
      </c>
      <c r="P436" s="0" t="s">
        <v>829</v>
      </c>
      <c r="R436" s="0" t="s">
        <v>832</v>
      </c>
      <c r="S436" s="0" t="s">
        <v>84</v>
      </c>
      <c r="T436" s="0" t="n">
        <v>3</v>
      </c>
      <c r="U436" s="0" t="s">
        <v>63</v>
      </c>
      <c r="Z436" s="0" t="str">
        <f aca="false">HYPERLINK("http://lutemusic.org/composers/Barbetta/moresca_prima_le_canarie.ft3")</f>
        <v>http://lutemusic.org/composers/Barbetta/moresca_prima_le_canarie.ft3</v>
      </c>
      <c r="AA436" s="0" t="str">
        <f aca="false">HYPERLINK("http://lutemusic.org/composers/Barbetta/pdf/moresca_prima_le_canarie.pdf")</f>
        <v>http://lutemusic.org/composers/Barbetta/pdf/moresca_prima_le_canarie.pdf</v>
      </c>
      <c r="AB436" s="0" t="str">
        <f aca="false">HYPERLINK("http://lutemusic.org/composers/Barbetta/midi/moresca_prima_le_canarie.mid")</f>
        <v>http://lutemusic.org/composers/Barbetta/midi/moresca_prima_le_canarie.mid</v>
      </c>
      <c r="AC436" s="0" t="n">
        <v>1573937407</v>
      </c>
      <c r="AD436" s="0" t="n">
        <v>1586042062</v>
      </c>
    </row>
    <row r="437" customFormat="false" ht="12.8" hidden="false" customHeight="false" outlineLevel="0" collapsed="false">
      <c r="A437" s="0" t="s">
        <v>833</v>
      </c>
      <c r="B437" s="0" t="s">
        <v>668</v>
      </c>
      <c r="C437" s="0" t="s">
        <v>834</v>
      </c>
      <c r="E437" s="0" t="s">
        <v>835</v>
      </c>
      <c r="F437" s="0" t="s">
        <v>836</v>
      </c>
      <c r="H437" s="0" t="n">
        <v>1559</v>
      </c>
      <c r="J437" s="0" t="s">
        <v>36</v>
      </c>
      <c r="K437" s="0" t="s">
        <v>36</v>
      </c>
      <c r="P437" s="0" t="s">
        <v>833</v>
      </c>
      <c r="Q437" s="0" t="s">
        <v>668</v>
      </c>
      <c r="R437" s="0" t="s">
        <v>837</v>
      </c>
      <c r="S437" s="0" t="s">
        <v>152</v>
      </c>
      <c r="T437" s="0" t="n">
        <v>3</v>
      </c>
      <c r="U437" s="0" t="s">
        <v>644</v>
      </c>
      <c r="Z437" s="0" t="str">
        <f aca="false">HYPERLINK("http://lutemusic.org/composers/Baron/sonnetto_primero_grado/01_prelude.ft3")</f>
        <v>http://lutemusic.org/composers/Baron/sonnetto_primero_grado/01_prelude.ft3</v>
      </c>
      <c r="AA437" s="0" t="str">
        <f aca="false">HYPERLINK("http://lutemusic.org/composers/Baron/sonnetto_primero_grado/pdf/01_prelude.pdf")</f>
        <v>http://lutemusic.org/composers/Baron/sonnetto_primero_grado/pdf/01_prelude.pdf</v>
      </c>
      <c r="AB437" s="0" t="str">
        <f aca="false">HYPERLINK("http://lutemusic.org/composers/Baron/sonnetto_primero_grado/midi/01_prelude.mid")</f>
        <v>http://lutemusic.org/composers/Baron/sonnetto_primero_grado/midi/01_prelude.mid</v>
      </c>
      <c r="AC437" s="0" t="n">
        <v>1573937407</v>
      </c>
      <c r="AD437" s="0" t="n">
        <v>1586042062</v>
      </c>
    </row>
    <row r="438" customFormat="false" ht="12.8" hidden="false" customHeight="false" outlineLevel="0" collapsed="false">
      <c r="B438" s="0" t="s">
        <v>838</v>
      </c>
      <c r="C438" s="0" t="s">
        <v>834</v>
      </c>
      <c r="E438" s="0" t="s">
        <v>835</v>
      </c>
      <c r="F438" s="0" t="s">
        <v>836</v>
      </c>
      <c r="H438" s="0" t="n">
        <v>1559</v>
      </c>
      <c r="J438" s="0" t="s">
        <v>36</v>
      </c>
      <c r="K438" s="0" t="s">
        <v>36</v>
      </c>
      <c r="P438" s="0" t="s">
        <v>833</v>
      </c>
      <c r="Q438" s="0" t="s">
        <v>839</v>
      </c>
      <c r="R438" s="0" t="s">
        <v>840</v>
      </c>
      <c r="S438" s="0" t="s">
        <v>152</v>
      </c>
      <c r="T438" s="0" t="n">
        <v>3</v>
      </c>
      <c r="U438" s="0" t="s">
        <v>644</v>
      </c>
      <c r="Z438" s="0" t="str">
        <f aca="false">HYPERLINK("http://lutemusic.org/composers/Baron/sonnetto_primero_grado/02_gigue.ft3")</f>
        <v>http://lutemusic.org/composers/Baron/sonnetto_primero_grado/02_gigue.ft3</v>
      </c>
      <c r="AA438" s="0" t="str">
        <f aca="false">HYPERLINK("http://lutemusic.org/composers/Baron/sonnetto_primero_grado/pdf/02_gigue.pdf")</f>
        <v>http://lutemusic.org/composers/Baron/sonnetto_primero_grado/pdf/02_gigue.pdf</v>
      </c>
      <c r="AB438" s="0" t="str">
        <f aca="false">HYPERLINK("http://lutemusic.org/composers/Baron/sonnetto_primero_grado/midi/02_gigue.mid")</f>
        <v>http://lutemusic.org/composers/Baron/sonnetto_primero_grado/midi/02_gigue.mid</v>
      </c>
      <c r="AC438" s="0" t="n">
        <v>1573937407</v>
      </c>
      <c r="AD438" s="0" t="n">
        <v>1586042062</v>
      </c>
    </row>
    <row r="439" customFormat="false" ht="12.8" hidden="false" customHeight="false" outlineLevel="0" collapsed="false">
      <c r="B439" s="0" t="s">
        <v>841</v>
      </c>
      <c r="C439" s="0" t="s">
        <v>834</v>
      </c>
      <c r="E439" s="0" t="s">
        <v>835</v>
      </c>
      <c r="F439" s="0" t="s">
        <v>836</v>
      </c>
      <c r="H439" s="0" t="n">
        <v>1559</v>
      </c>
      <c r="J439" s="0" t="s">
        <v>36</v>
      </c>
      <c r="K439" s="0" t="s">
        <v>36</v>
      </c>
      <c r="P439" s="0" t="s">
        <v>833</v>
      </c>
      <c r="Q439" s="0" t="s">
        <v>500</v>
      </c>
      <c r="R439" s="0" t="s">
        <v>842</v>
      </c>
      <c r="S439" s="0" t="s">
        <v>152</v>
      </c>
      <c r="T439" s="0" t="n">
        <v>3</v>
      </c>
      <c r="U439" s="0" t="s">
        <v>644</v>
      </c>
      <c r="Z439" s="0" t="str">
        <f aca="false">HYPERLINK("http://lutemusic.org/composers/Baron/sonnetto_primero_grado/03_minuet.ft3")</f>
        <v>http://lutemusic.org/composers/Baron/sonnetto_primero_grado/03_minuet.ft3</v>
      </c>
      <c r="AA439" s="0" t="str">
        <f aca="false">HYPERLINK("http://lutemusic.org/composers/Baron/sonnetto_primero_grado/pdf/03_minuet.pdf")</f>
        <v>http://lutemusic.org/composers/Baron/sonnetto_primero_grado/pdf/03_minuet.pdf</v>
      </c>
      <c r="AB439" s="0" t="str">
        <f aca="false">HYPERLINK("http://lutemusic.org/composers/Baron/sonnetto_primero_grado/midi/03_minuet.mid")</f>
        <v>http://lutemusic.org/composers/Baron/sonnetto_primero_grado/midi/03_minuet.mid</v>
      </c>
      <c r="AC439" s="0" t="n">
        <v>1573937407</v>
      </c>
      <c r="AD439" s="0" t="n">
        <v>1586042062</v>
      </c>
    </row>
    <row r="440" customFormat="false" ht="12.8" hidden="false" customHeight="false" outlineLevel="0" collapsed="false">
      <c r="B440" s="0" t="s">
        <v>843</v>
      </c>
      <c r="C440" s="0" t="s">
        <v>834</v>
      </c>
      <c r="E440" s="0" t="s">
        <v>835</v>
      </c>
      <c r="F440" s="0" t="s">
        <v>836</v>
      </c>
      <c r="H440" s="0" t="n">
        <v>1559</v>
      </c>
      <c r="J440" s="0" t="s">
        <v>36</v>
      </c>
      <c r="K440" s="0" t="s">
        <v>36</v>
      </c>
      <c r="P440" s="0" t="s">
        <v>833</v>
      </c>
      <c r="Q440" s="0" t="s">
        <v>844</v>
      </c>
      <c r="R440" s="0" t="s">
        <v>845</v>
      </c>
      <c r="S440" s="0" t="s">
        <v>152</v>
      </c>
      <c r="T440" s="0" t="n">
        <v>3</v>
      </c>
      <c r="U440" s="0" t="s">
        <v>644</v>
      </c>
      <c r="Z440" s="0" t="str">
        <f aca="false">HYPERLINK("http://lutemusic.org/composers/Baron/sonnetto_primero_grado/04_allemande.ft3")</f>
        <v>http://lutemusic.org/composers/Baron/sonnetto_primero_grado/04_allemande.ft3</v>
      </c>
      <c r="AA440" s="0" t="str">
        <f aca="false">HYPERLINK("http://lutemusic.org/composers/Baron/sonnetto_primero_grado/pdf/04_allemande.pdf")</f>
        <v>http://lutemusic.org/composers/Baron/sonnetto_primero_grado/pdf/04_allemande.pdf</v>
      </c>
      <c r="AB440" s="0" t="str">
        <f aca="false">HYPERLINK("http://lutemusic.org/composers/Baron/sonnetto_primero_grado/midi/04_allemande.mid")</f>
        <v>http://lutemusic.org/composers/Baron/sonnetto_primero_grado/midi/04_allemande.mid</v>
      </c>
      <c r="AC440" s="0" t="n">
        <v>1573937407</v>
      </c>
      <c r="AD440" s="0" t="n">
        <v>1586042062</v>
      </c>
    </row>
    <row r="441" customFormat="false" ht="12.8" hidden="false" customHeight="false" outlineLevel="0" collapsed="false">
      <c r="B441" s="0" t="s">
        <v>846</v>
      </c>
      <c r="C441" s="0" t="s">
        <v>834</v>
      </c>
      <c r="E441" s="0" t="s">
        <v>835</v>
      </c>
      <c r="F441" s="0" t="s">
        <v>836</v>
      </c>
      <c r="H441" s="0" t="n">
        <v>1559</v>
      </c>
      <c r="J441" s="0" t="s">
        <v>36</v>
      </c>
      <c r="K441" s="0" t="s">
        <v>36</v>
      </c>
      <c r="P441" s="0" t="s">
        <v>833</v>
      </c>
      <c r="Q441" s="0" t="s">
        <v>719</v>
      </c>
      <c r="R441" s="0" t="s">
        <v>842</v>
      </c>
      <c r="S441" s="0" t="s">
        <v>152</v>
      </c>
      <c r="T441" s="0" t="n">
        <v>3</v>
      </c>
      <c r="U441" s="0" t="s">
        <v>644</v>
      </c>
      <c r="Z441" s="0" t="str">
        <f aca="false">HYPERLINK("http://lutemusic.org/composers/Baron/sonnetto_primero_grado/05_minuet.ft3")</f>
        <v>http://lutemusic.org/composers/Baron/sonnetto_primero_grado/05_minuet.ft3</v>
      </c>
      <c r="AA441" s="0" t="str">
        <f aca="false">HYPERLINK("http://lutemusic.org/composers/Baron/sonnetto_primero_grado/pdf/05_minuet.pdf")</f>
        <v>http://lutemusic.org/composers/Baron/sonnetto_primero_grado/pdf/05_minuet.pdf</v>
      </c>
      <c r="AB441" s="0" t="str">
        <f aca="false">HYPERLINK("http://lutemusic.org/composers/Baron/sonnetto_primero_grado/midi/05_minuet.mid")</f>
        <v>http://lutemusic.org/composers/Baron/sonnetto_primero_grado/midi/05_minuet.mid</v>
      </c>
      <c r="AC441" s="0" t="n">
        <v>1573937407</v>
      </c>
      <c r="AD441" s="0" t="n">
        <v>1586042062</v>
      </c>
    </row>
    <row r="442" customFormat="false" ht="12.8" hidden="false" customHeight="false" outlineLevel="0" collapsed="false">
      <c r="A442" s="0" t="s">
        <v>847</v>
      </c>
      <c r="B442" s="0" t="s">
        <v>848</v>
      </c>
      <c r="C442" s="0" t="s">
        <v>834</v>
      </c>
      <c r="E442" s="0" t="s">
        <v>834</v>
      </c>
      <c r="F442" s="0" t="s">
        <v>849</v>
      </c>
      <c r="H442" s="0" t="n">
        <v>1728</v>
      </c>
      <c r="I442" s="0" t="s">
        <v>850</v>
      </c>
      <c r="J442" s="0" t="s">
        <v>36</v>
      </c>
      <c r="K442" s="0" t="s">
        <v>36</v>
      </c>
      <c r="P442" s="0" t="s">
        <v>847</v>
      </c>
      <c r="Q442" s="0" t="s">
        <v>848</v>
      </c>
      <c r="R442" s="0" t="s">
        <v>851</v>
      </c>
      <c r="S442" s="0" t="s">
        <v>49</v>
      </c>
      <c r="T442" s="0" t="n">
        <v>3</v>
      </c>
      <c r="U442" s="0" t="s">
        <v>644</v>
      </c>
      <c r="Z442" s="0" t="str">
        <f aca="false">HYPERLINK("http://lutemusic.org/composers/Baron/suite_FM/01_allemande.ft3")</f>
        <v>http://lutemusic.org/composers/Baron/suite_FM/01_allemande.ft3</v>
      </c>
      <c r="AA442" s="0" t="str">
        <f aca="false">HYPERLINK("http://lutemusic.org/composers/Baron/suite_FM/pdf/01_allemande.pdf")</f>
        <v>http://lutemusic.org/composers/Baron/suite_FM/pdf/01_allemande.pdf</v>
      </c>
      <c r="AB442" s="0" t="str">
        <f aca="false">HYPERLINK("http://lutemusic.org/composers/Baron/suite_FM/midi/01_allemande.mid")</f>
        <v>http://lutemusic.org/composers/Baron/suite_FM/midi/01_allemande.mid</v>
      </c>
      <c r="AC442" s="0" t="n">
        <v>1573937407</v>
      </c>
      <c r="AD442" s="0" t="n">
        <v>1586042062</v>
      </c>
    </row>
    <row r="443" customFormat="false" ht="12.8" hidden="false" customHeight="false" outlineLevel="0" collapsed="false">
      <c r="B443" s="0" t="s">
        <v>852</v>
      </c>
      <c r="C443" s="0" t="s">
        <v>834</v>
      </c>
      <c r="E443" s="0" t="s">
        <v>834</v>
      </c>
      <c r="F443" s="0" t="s">
        <v>849</v>
      </c>
      <c r="H443" s="0" t="n">
        <v>1728</v>
      </c>
      <c r="I443" s="0" t="s">
        <v>850</v>
      </c>
      <c r="J443" s="0" t="s">
        <v>36</v>
      </c>
      <c r="K443" s="0" t="s">
        <v>36</v>
      </c>
      <c r="P443" s="0" t="s">
        <v>847</v>
      </c>
      <c r="Q443" s="0" t="s">
        <v>853</v>
      </c>
      <c r="R443" s="0" t="s">
        <v>854</v>
      </c>
      <c r="S443" s="0" t="s">
        <v>49</v>
      </c>
      <c r="T443" s="0" t="n">
        <v>3</v>
      </c>
      <c r="U443" s="0" t="s">
        <v>644</v>
      </c>
      <c r="Z443" s="0" t="str">
        <f aca="false">HYPERLINK("http://lutemusic.org/composers/Baron/suite_FM/02_gavotte.ft3")</f>
        <v>http://lutemusic.org/composers/Baron/suite_FM/02_gavotte.ft3</v>
      </c>
      <c r="AA443" s="0" t="str">
        <f aca="false">HYPERLINK("http://lutemusic.org/composers/Baron/suite_FM/pdf/02_gavotte.pdf")</f>
        <v>http://lutemusic.org/composers/Baron/suite_FM/pdf/02_gavotte.pdf</v>
      </c>
      <c r="AB443" s="0" t="str">
        <f aca="false">HYPERLINK("http://lutemusic.org/composers/Baron/suite_FM/midi/02_gavotte.mid")</f>
        <v>http://lutemusic.org/composers/Baron/suite_FM/midi/02_gavotte.mid</v>
      </c>
      <c r="AC443" s="0" t="n">
        <v>1573937407</v>
      </c>
      <c r="AD443" s="0" t="n">
        <v>1586042062</v>
      </c>
    </row>
    <row r="444" customFormat="false" ht="12.8" hidden="false" customHeight="false" outlineLevel="0" collapsed="false">
      <c r="B444" s="0" t="s">
        <v>841</v>
      </c>
      <c r="C444" s="0" t="s">
        <v>834</v>
      </c>
      <c r="E444" s="0" t="s">
        <v>834</v>
      </c>
      <c r="F444" s="0" t="s">
        <v>849</v>
      </c>
      <c r="H444" s="0" t="n">
        <v>1728</v>
      </c>
      <c r="I444" s="0" t="s">
        <v>850</v>
      </c>
      <c r="J444" s="0" t="s">
        <v>36</v>
      </c>
      <c r="K444" s="0" t="s">
        <v>36</v>
      </c>
      <c r="P444" s="0" t="s">
        <v>847</v>
      </c>
      <c r="Q444" s="0" t="s">
        <v>500</v>
      </c>
      <c r="R444" s="0" t="s">
        <v>499</v>
      </c>
      <c r="S444" s="0" t="s">
        <v>49</v>
      </c>
      <c r="T444" s="0" t="n">
        <v>3</v>
      </c>
      <c r="U444" s="0" t="s">
        <v>644</v>
      </c>
      <c r="Z444" s="0" t="str">
        <f aca="false">HYPERLINK("http://lutemusic.org/composers/Baron/suite_FM/03_minuet.ft3")</f>
        <v>http://lutemusic.org/composers/Baron/suite_FM/03_minuet.ft3</v>
      </c>
      <c r="AA444" s="0" t="str">
        <f aca="false">HYPERLINK("http://lutemusic.org/composers/Baron/suite_FM/pdf/03_minuet.pdf")</f>
        <v>http://lutemusic.org/composers/Baron/suite_FM/pdf/03_minuet.pdf</v>
      </c>
      <c r="AB444" s="0" t="str">
        <f aca="false">HYPERLINK("http://lutemusic.org/composers/Baron/suite_FM/midi/03_minuet.mid")</f>
        <v>http://lutemusic.org/composers/Baron/suite_FM/midi/03_minuet.mid</v>
      </c>
      <c r="AC444" s="0" t="n">
        <v>1573937407</v>
      </c>
      <c r="AD444" s="0" t="n">
        <v>1586042062</v>
      </c>
    </row>
    <row r="445" customFormat="false" ht="12.8" hidden="false" customHeight="false" outlineLevel="0" collapsed="false">
      <c r="B445" s="0" t="s">
        <v>855</v>
      </c>
      <c r="C445" s="0" t="s">
        <v>834</v>
      </c>
      <c r="E445" s="0" t="s">
        <v>834</v>
      </c>
      <c r="F445" s="0" t="s">
        <v>849</v>
      </c>
      <c r="H445" s="0" t="n">
        <v>1728</v>
      </c>
      <c r="I445" s="0" t="s">
        <v>850</v>
      </c>
      <c r="J445" s="0" t="s">
        <v>36</v>
      </c>
      <c r="K445" s="0" t="s">
        <v>36</v>
      </c>
      <c r="P445" s="0" t="s">
        <v>847</v>
      </c>
      <c r="Q445" s="0" t="s">
        <v>855</v>
      </c>
      <c r="R445" s="0" t="s">
        <v>856</v>
      </c>
      <c r="S445" s="0" t="s">
        <v>49</v>
      </c>
      <c r="T445" s="0" t="n">
        <v>3</v>
      </c>
      <c r="U445" s="0" t="s">
        <v>644</v>
      </c>
      <c r="Z445" s="0" t="str">
        <f aca="false">HYPERLINK("http://lutemusic.org/composers/Baron/suite_FM/04_sarabande.ft3")</f>
        <v>http://lutemusic.org/composers/Baron/suite_FM/04_sarabande.ft3</v>
      </c>
      <c r="AA445" s="0" t="str">
        <f aca="false">HYPERLINK("http://lutemusic.org/composers/Baron/suite_FM/pdf/04_sarabande.pdf")</f>
        <v>http://lutemusic.org/composers/Baron/suite_FM/pdf/04_sarabande.pdf</v>
      </c>
      <c r="AB445" s="0" t="str">
        <f aca="false">HYPERLINK("http://lutemusic.org/composers/Baron/suite_FM/midi/04_sarabande.mid")</f>
        <v>http://lutemusic.org/composers/Baron/suite_FM/midi/04_sarabande.mid</v>
      </c>
      <c r="AC445" s="0" t="n">
        <v>1573937408</v>
      </c>
      <c r="AD445" s="0" t="n">
        <v>1586042062</v>
      </c>
    </row>
    <row r="446" customFormat="false" ht="12.8" hidden="false" customHeight="false" outlineLevel="0" collapsed="false">
      <c r="B446" s="0" t="s">
        <v>857</v>
      </c>
      <c r="C446" s="0" t="s">
        <v>834</v>
      </c>
      <c r="E446" s="0" t="s">
        <v>834</v>
      </c>
      <c r="F446" s="0" t="s">
        <v>849</v>
      </c>
      <c r="H446" s="0" t="n">
        <v>1728</v>
      </c>
      <c r="I446" s="0" t="s">
        <v>850</v>
      </c>
      <c r="J446" s="0" t="s">
        <v>36</v>
      </c>
      <c r="K446" s="0" t="s">
        <v>36</v>
      </c>
      <c r="P446" s="0" t="s">
        <v>847</v>
      </c>
      <c r="Q446" s="0" t="s">
        <v>857</v>
      </c>
      <c r="R446" s="0" t="s">
        <v>851</v>
      </c>
      <c r="S446" s="0" t="s">
        <v>49</v>
      </c>
      <c r="T446" s="0" t="n">
        <v>3</v>
      </c>
      <c r="U446" s="0" t="s">
        <v>644</v>
      </c>
      <c r="Z446" s="0" t="str">
        <f aca="false">HYPERLINK("http://lutemusic.org/composers/Baron/suite_FM/05_allemande.ft3")</f>
        <v>http://lutemusic.org/composers/Baron/suite_FM/05_allemande.ft3</v>
      </c>
      <c r="AA446" s="0" t="str">
        <f aca="false">HYPERLINK("http://lutemusic.org/composers/Baron/suite_FM/pdf/05_allemande.pdf")</f>
        <v>http://lutemusic.org/composers/Baron/suite_FM/pdf/05_allemande.pdf</v>
      </c>
      <c r="AB446" s="0" t="str">
        <f aca="false">HYPERLINK("http://lutemusic.org/composers/Baron/suite_FM/midi/05_allemande.mid")</f>
        <v>http://lutemusic.org/composers/Baron/suite_FM/midi/05_allemande.mid</v>
      </c>
      <c r="AC446" s="0" t="n">
        <v>1573937408</v>
      </c>
      <c r="AD446" s="0" t="n">
        <v>1586042062</v>
      </c>
    </row>
    <row r="447" customFormat="false" ht="12.8" hidden="false" customHeight="false" outlineLevel="0" collapsed="false">
      <c r="B447" s="0" t="s">
        <v>858</v>
      </c>
      <c r="C447" s="0" t="s">
        <v>834</v>
      </c>
      <c r="E447" s="0" t="s">
        <v>834</v>
      </c>
      <c r="F447" s="0" t="s">
        <v>849</v>
      </c>
      <c r="H447" s="0" t="n">
        <v>1728</v>
      </c>
      <c r="I447" s="0" t="s">
        <v>850</v>
      </c>
      <c r="J447" s="0" t="s">
        <v>36</v>
      </c>
      <c r="K447" s="0" t="s">
        <v>36</v>
      </c>
      <c r="P447" s="0" t="s">
        <v>847</v>
      </c>
      <c r="Q447" s="0" t="s">
        <v>858</v>
      </c>
      <c r="R447" s="0" t="s">
        <v>851</v>
      </c>
      <c r="S447" s="0" t="s">
        <v>49</v>
      </c>
      <c r="T447" s="0" t="n">
        <v>3</v>
      </c>
      <c r="U447" s="0" t="s">
        <v>644</v>
      </c>
      <c r="Z447" s="0" t="str">
        <f aca="false">HYPERLINK("http://lutemusic.org/composers/Baron/suite_FM/06_untitled.ft3")</f>
        <v>http://lutemusic.org/composers/Baron/suite_FM/06_untitled.ft3</v>
      </c>
      <c r="AA447" s="0" t="str">
        <f aca="false">HYPERLINK("http://lutemusic.org/composers/Baron/suite_FM/pdf/06_untitled.pdf")</f>
        <v>http://lutemusic.org/composers/Baron/suite_FM/pdf/06_untitled.pdf</v>
      </c>
      <c r="AB447" s="0" t="str">
        <f aca="false">HYPERLINK("http://lutemusic.org/composers/Baron/suite_FM/midi/06_untitled.mid")</f>
        <v>http://lutemusic.org/composers/Baron/suite_FM/midi/06_untitled.mid</v>
      </c>
      <c r="AC447" s="0" t="n">
        <v>1573937408</v>
      </c>
      <c r="AD447" s="0" t="n">
        <v>1586042062</v>
      </c>
    </row>
    <row r="448" customFormat="false" ht="12.8" hidden="false" customHeight="false" outlineLevel="0" collapsed="false">
      <c r="B448" s="0" t="s">
        <v>859</v>
      </c>
      <c r="C448" s="0" t="s">
        <v>834</v>
      </c>
      <c r="E448" s="0" t="s">
        <v>834</v>
      </c>
      <c r="F448" s="0" t="s">
        <v>849</v>
      </c>
      <c r="H448" s="0" t="n">
        <v>1728</v>
      </c>
      <c r="I448" s="0" t="s">
        <v>850</v>
      </c>
      <c r="J448" s="0" t="s">
        <v>36</v>
      </c>
      <c r="K448" s="0" t="s">
        <v>36</v>
      </c>
      <c r="P448" s="0" t="s">
        <v>847</v>
      </c>
      <c r="Q448" s="0" t="s">
        <v>859</v>
      </c>
      <c r="R448" s="0" t="s">
        <v>854</v>
      </c>
      <c r="S448" s="0" t="s">
        <v>49</v>
      </c>
      <c r="T448" s="0" t="n">
        <v>3</v>
      </c>
      <c r="U448" s="0" t="s">
        <v>644</v>
      </c>
      <c r="Z448" s="0" t="str">
        <f aca="false">HYPERLINK("http://lutemusic.org/composers/Baron/suite_FM/07_gavotte.ft3")</f>
        <v>http://lutemusic.org/composers/Baron/suite_FM/07_gavotte.ft3</v>
      </c>
      <c r="AA448" s="0" t="str">
        <f aca="false">HYPERLINK("http://lutemusic.org/composers/Baron/suite_FM/pdf/07_gavotte.pdf")</f>
        <v>http://lutemusic.org/composers/Baron/suite_FM/pdf/07_gavotte.pdf</v>
      </c>
      <c r="AB448" s="0" t="str">
        <f aca="false">HYPERLINK("http://lutemusic.org/composers/Baron/suite_FM/midi/07_gavotte.mid")</f>
        <v>http://lutemusic.org/composers/Baron/suite_FM/midi/07_gavotte.mid</v>
      </c>
      <c r="AC448" s="0" t="n">
        <v>1573937408</v>
      </c>
      <c r="AD448" s="0" t="n">
        <v>1586042062</v>
      </c>
    </row>
    <row r="449" customFormat="false" ht="12.8" hidden="false" customHeight="false" outlineLevel="0" collapsed="false">
      <c r="B449" s="0" t="s">
        <v>860</v>
      </c>
      <c r="C449" s="0" t="s">
        <v>834</v>
      </c>
      <c r="E449" s="0" t="s">
        <v>834</v>
      </c>
      <c r="F449" s="0" t="s">
        <v>849</v>
      </c>
      <c r="H449" s="0" t="n">
        <v>1728</v>
      </c>
      <c r="I449" s="0" t="s">
        <v>850</v>
      </c>
      <c r="J449" s="0" t="s">
        <v>36</v>
      </c>
      <c r="K449" s="0" t="s">
        <v>36</v>
      </c>
      <c r="P449" s="0" t="s">
        <v>847</v>
      </c>
      <c r="Q449" s="0" t="s">
        <v>860</v>
      </c>
      <c r="R449" s="0" t="s">
        <v>861</v>
      </c>
      <c r="S449" s="0" t="s">
        <v>49</v>
      </c>
      <c r="T449" s="0" t="n">
        <v>3</v>
      </c>
      <c r="U449" s="0" t="s">
        <v>644</v>
      </c>
      <c r="Z449" s="0" t="str">
        <f aca="false">HYPERLINK("http://lutemusic.org/composers/Baron/suite_FM/08_gigue.ft3")</f>
        <v>http://lutemusic.org/composers/Baron/suite_FM/08_gigue.ft3</v>
      </c>
      <c r="AA449" s="0" t="str">
        <f aca="false">HYPERLINK("http://lutemusic.org/composers/Baron/suite_FM/pdf/08_gigue.pdf")</f>
        <v>http://lutemusic.org/composers/Baron/suite_FM/pdf/08_gigue.pdf</v>
      </c>
      <c r="AB449" s="0" t="str">
        <f aca="false">HYPERLINK("http://lutemusic.org/composers/Baron/suite_FM/midi/08_gigue.mid")</f>
        <v>http://lutemusic.org/composers/Baron/suite_FM/midi/08_gigue.mid</v>
      </c>
      <c r="AC449" s="0" t="n">
        <v>1573937408</v>
      </c>
      <c r="AD449" s="0" t="n">
        <v>1586042062</v>
      </c>
    </row>
    <row r="450" customFormat="false" ht="12.8" hidden="false" customHeight="false" outlineLevel="0" collapsed="false">
      <c r="A450" s="0" t="s">
        <v>862</v>
      </c>
      <c r="B450" s="0" t="s">
        <v>863</v>
      </c>
      <c r="C450" s="0" t="s">
        <v>864</v>
      </c>
      <c r="E450" s="0" t="s">
        <v>864</v>
      </c>
      <c r="F450" s="0" t="s">
        <v>865</v>
      </c>
      <c r="H450" s="0" t="n">
        <v>1606</v>
      </c>
      <c r="I450" s="0" t="s">
        <v>866</v>
      </c>
      <c r="J450" s="0" t="s">
        <v>36</v>
      </c>
      <c r="K450" s="0" t="s">
        <v>36</v>
      </c>
      <c r="P450" s="0" t="s">
        <v>862</v>
      </c>
      <c r="R450" s="0" t="s">
        <v>406</v>
      </c>
      <c r="S450" s="0" t="s">
        <v>480</v>
      </c>
      <c r="T450" s="0" t="n">
        <v>2</v>
      </c>
      <c r="U450" s="0" t="s">
        <v>867</v>
      </c>
      <c r="V450" s="0" t="s">
        <v>422</v>
      </c>
      <c r="Z450" s="0" t="str">
        <f aca="false">HYPERLINK("http://lutemusic.org/composers/Bartlet/songs/02_if_ever_hapless_woman/02_if_ever_hapless_woman.ft3")</f>
        <v>http://lutemusic.org/composers/Bartlet/songs/02_if_ever_hapless_woman/02_if_ever_hapless_woman.ft3</v>
      </c>
      <c r="AA450" s="0" t="str">
        <f aca="false">HYPERLINK("http://lutemusic.org/composers/Bartlet/songs/02_if_ever_hapless_woman/pdf/02_if_ever_hapless_woman.pdf")</f>
        <v>http://lutemusic.org/composers/Bartlet/songs/02_if_ever_hapless_woman/pdf/02_if_ever_hapless_woman.pdf</v>
      </c>
      <c r="AB450" s="0" t="str">
        <f aca="false">HYPERLINK("http://lutemusic.org/composers/Bartlet/songs/02_if_ever_hapless_woman/midi/02_if_ever_hapless_woman.mid")</f>
        <v>http://lutemusic.org/composers/Bartlet/songs/02_if_ever_hapless_woman/midi/02_if_ever_hapless_woman.mid</v>
      </c>
      <c r="AC450" s="0" t="n">
        <v>1573937408</v>
      </c>
      <c r="AD450" s="0" t="n">
        <v>1586042062</v>
      </c>
    </row>
    <row r="451" customFormat="false" ht="12.8" hidden="false" customHeight="false" outlineLevel="0" collapsed="false">
      <c r="A451" s="0" t="s">
        <v>862</v>
      </c>
      <c r="B451" s="0" t="s">
        <v>863</v>
      </c>
      <c r="C451" s="0" t="s">
        <v>864</v>
      </c>
      <c r="E451" s="0" t="s">
        <v>864</v>
      </c>
      <c r="F451" s="0" t="s">
        <v>865</v>
      </c>
      <c r="H451" s="0" t="n">
        <v>1606</v>
      </c>
      <c r="I451" s="0" t="s">
        <v>866</v>
      </c>
      <c r="J451" s="0" t="s">
        <v>36</v>
      </c>
      <c r="K451" s="0" t="s">
        <v>36</v>
      </c>
      <c r="P451" s="0" t="s">
        <v>862</v>
      </c>
      <c r="R451" s="0" t="s">
        <v>406</v>
      </c>
      <c r="S451" s="0" t="s">
        <v>480</v>
      </c>
      <c r="T451" s="0" t="n">
        <v>2</v>
      </c>
      <c r="U451" s="0" t="s">
        <v>867</v>
      </c>
      <c r="V451" s="0" t="s">
        <v>40</v>
      </c>
      <c r="Z451" s="0" t="str">
        <f aca="false">HYPERLINK("http://lutemusic.org/composers/Bartlet/songs/02_if_ever_hapless_woman/02_if_ever_hapless_woman_S.ft3")</f>
        <v>http://lutemusic.org/composers/Bartlet/songs/02_if_ever_hapless_woman/02_if_ever_hapless_woman_S.ft3</v>
      </c>
      <c r="AA451" s="0" t="str">
        <f aca="false">HYPERLINK("http://lutemusic.org/composers/Bartlet/songs/02_if_ever_hapless_woman/pdf/02_if_ever_hapless_woman_S.pdf")</f>
        <v>http://lutemusic.org/composers/Bartlet/songs/02_if_ever_hapless_woman/pdf/02_if_ever_hapless_woman_S.pdf</v>
      </c>
      <c r="AB451" s="0" t="str">
        <f aca="false">HYPERLINK("http://lutemusic.org/composers/Bartlet/songs/02_if_ever_hapless_woman/midi/02_if_ever_hapless_woman_S.mid")</f>
        <v>http://lutemusic.org/composers/Bartlet/songs/02_if_ever_hapless_woman/midi/02_if_ever_hapless_woman_S.mid</v>
      </c>
      <c r="AC451" s="0" t="n">
        <v>1573937408</v>
      </c>
      <c r="AD451" s="0" t="n">
        <v>1586042062</v>
      </c>
    </row>
    <row r="452" customFormat="false" ht="12.8" hidden="false" customHeight="false" outlineLevel="0" collapsed="false">
      <c r="A452" s="0" t="s">
        <v>862</v>
      </c>
      <c r="B452" s="0" t="s">
        <v>863</v>
      </c>
      <c r="C452" s="0" t="s">
        <v>864</v>
      </c>
      <c r="E452" s="0" t="s">
        <v>864</v>
      </c>
      <c r="F452" s="0" t="s">
        <v>865</v>
      </c>
      <c r="H452" s="0" t="n">
        <v>1606</v>
      </c>
      <c r="I452" s="0" t="s">
        <v>866</v>
      </c>
      <c r="J452" s="0" t="s">
        <v>36</v>
      </c>
      <c r="K452" s="0" t="s">
        <v>36</v>
      </c>
      <c r="P452" s="0" t="s">
        <v>862</v>
      </c>
      <c r="R452" s="0" t="s">
        <v>406</v>
      </c>
      <c r="S452" s="0" t="s">
        <v>480</v>
      </c>
      <c r="T452" s="0" t="n">
        <v>2</v>
      </c>
      <c r="U452" s="0" t="s">
        <v>867</v>
      </c>
      <c r="V452" s="0" t="s">
        <v>63</v>
      </c>
      <c r="Z452" s="0" t="str">
        <f aca="false">HYPERLINK("http://lutemusic.org/composers/Bartlet/songs/02_if_ever_hapless_woman/02_if_ever_hapless_woman_T.ft3")</f>
        <v>http://lutemusic.org/composers/Bartlet/songs/02_if_ever_hapless_woman/02_if_ever_hapless_woman_T.ft3</v>
      </c>
      <c r="AA452" s="0" t="str">
        <f aca="false">HYPERLINK("http://lutemusic.org/composers/Bartlet/songs/02_if_ever_hapless_woman/pdf/02_if_ever_hapless_woman_T.pdf")</f>
        <v>http://lutemusic.org/composers/Bartlet/songs/02_if_ever_hapless_woman/pdf/02_if_ever_hapless_woman_T.pdf</v>
      </c>
      <c r="AB452" s="0" t="str">
        <f aca="false">HYPERLINK("http://lutemusic.org/composers/Bartlet/songs/02_if_ever_hapless_woman/midi/02_if_ever_hapless_woman_T.mid")</f>
        <v>http://lutemusic.org/composers/Bartlet/songs/02_if_ever_hapless_woman/midi/02_if_ever_hapless_woman_T.mid</v>
      </c>
      <c r="AC452" s="0" t="n">
        <v>1573937408</v>
      </c>
      <c r="AD452" s="0" t="n">
        <v>1586042062</v>
      </c>
    </row>
    <row r="453" customFormat="false" ht="12.8" hidden="false" customHeight="false" outlineLevel="0" collapsed="false">
      <c r="A453" s="0" t="s">
        <v>868</v>
      </c>
      <c r="C453" s="0" t="s">
        <v>864</v>
      </c>
      <c r="E453" s="0" t="s">
        <v>864</v>
      </c>
      <c r="F453" s="0" t="s">
        <v>865</v>
      </c>
      <c r="H453" s="0" t="n">
        <v>1606</v>
      </c>
      <c r="I453" s="0" t="s">
        <v>636</v>
      </c>
      <c r="J453" s="0" t="s">
        <v>36</v>
      </c>
      <c r="K453" s="0" t="s">
        <v>36</v>
      </c>
      <c r="P453" s="0" t="s">
        <v>868</v>
      </c>
      <c r="R453" s="0" t="s">
        <v>51</v>
      </c>
      <c r="S453" s="0" t="s">
        <v>84</v>
      </c>
      <c r="T453" s="0" t="n">
        <v>2</v>
      </c>
      <c r="U453" s="0" t="s">
        <v>422</v>
      </c>
      <c r="V453" s="0" t="s">
        <v>40</v>
      </c>
      <c r="Z453" s="0" t="str">
        <f aca="false">HYPERLINK("http://lutemusic.org/composers/Bartlet/songs/04_who_doth_behold/04_who_doth_behold.ft3")</f>
        <v>http://lutemusic.org/composers/Bartlet/songs/04_who_doth_behold/04_who_doth_behold.ft3</v>
      </c>
      <c r="AA453" s="0" t="str">
        <f aca="false">HYPERLINK("http://lutemusic.org/composers/Bartlet/songs/04_who_doth_behold/pdf/04_who_doth_behold.pdf")</f>
        <v>http://lutemusic.org/composers/Bartlet/songs/04_who_doth_behold/pdf/04_who_doth_behold.pdf</v>
      </c>
      <c r="AB453" s="0" t="str">
        <f aca="false">HYPERLINK("http://lutemusic.org/composers/Bartlet/songs/04_who_doth_behold/midi/04_who_doth_behold.mid")</f>
        <v>http://lutemusic.org/composers/Bartlet/songs/04_who_doth_behold/midi/04_who_doth_behold.mid</v>
      </c>
      <c r="AC453" s="0" t="n">
        <v>1573937408</v>
      </c>
      <c r="AD453" s="0" t="n">
        <v>1586042062</v>
      </c>
    </row>
    <row r="454" customFormat="false" ht="12.8" hidden="false" customHeight="false" outlineLevel="0" collapsed="false">
      <c r="A454" s="0" t="s">
        <v>868</v>
      </c>
      <c r="C454" s="0" t="s">
        <v>864</v>
      </c>
      <c r="E454" s="0" t="s">
        <v>864</v>
      </c>
      <c r="F454" s="0" t="s">
        <v>865</v>
      </c>
      <c r="H454" s="0" t="n">
        <v>1606</v>
      </c>
      <c r="I454" s="0" t="s">
        <v>636</v>
      </c>
      <c r="J454" s="0" t="s">
        <v>36</v>
      </c>
      <c r="K454" s="0" t="s">
        <v>36</v>
      </c>
      <c r="P454" s="0" t="s">
        <v>868</v>
      </c>
      <c r="R454" s="0" t="s">
        <v>51</v>
      </c>
      <c r="S454" s="0" t="s">
        <v>84</v>
      </c>
      <c r="T454" s="0" t="n">
        <v>2</v>
      </c>
      <c r="U454" s="0" t="s">
        <v>422</v>
      </c>
      <c r="V454" s="0" t="s">
        <v>63</v>
      </c>
      <c r="Z454" s="0" t="str">
        <f aca="false">HYPERLINK("http://lutemusic.org/composers/Bartlet/songs/04_who_doth_behold/04_who_doth_behold_T.ft3")</f>
        <v>http://lutemusic.org/composers/Bartlet/songs/04_who_doth_behold/04_who_doth_behold_T.ft3</v>
      </c>
      <c r="AA454" s="0" t="str">
        <f aca="false">HYPERLINK("http://lutemusic.org/composers/Bartlet/songs/04_who_doth_behold/pdf/04_who_doth_behold_T.pdf")</f>
        <v>http://lutemusic.org/composers/Bartlet/songs/04_who_doth_behold/pdf/04_who_doth_behold_T.pdf</v>
      </c>
      <c r="AB454" s="0" t="str">
        <f aca="false">HYPERLINK("http://lutemusic.org/composers/Bartlet/songs/04_who_doth_behold/midi/04_who_doth_behold_T.mid")</f>
        <v>http://lutemusic.org/composers/Bartlet/songs/04_who_doth_behold/midi/04_who_doth_behold_T.mid</v>
      </c>
      <c r="AC454" s="0" t="n">
        <v>1573937408</v>
      </c>
      <c r="AD454" s="0" t="n">
        <v>1586042062</v>
      </c>
    </row>
    <row r="455" customFormat="false" ht="12.8" hidden="false" customHeight="false" outlineLevel="0" collapsed="false">
      <c r="A455" s="0" t="s">
        <v>869</v>
      </c>
      <c r="C455" s="0" t="s">
        <v>864</v>
      </c>
      <c r="E455" s="0" t="s">
        <v>864</v>
      </c>
      <c r="F455" s="0" t="s">
        <v>865</v>
      </c>
      <c r="H455" s="0" t="n">
        <v>1606</v>
      </c>
      <c r="I455" s="0" t="s">
        <v>870</v>
      </c>
      <c r="J455" s="0" t="s">
        <v>36</v>
      </c>
      <c r="K455" s="0" t="s">
        <v>36</v>
      </c>
      <c r="P455" s="0" t="s">
        <v>869</v>
      </c>
      <c r="R455" s="0" t="s">
        <v>51</v>
      </c>
      <c r="S455" s="0" t="s">
        <v>84</v>
      </c>
      <c r="T455" s="0" t="n">
        <v>2</v>
      </c>
      <c r="U455" s="0" t="s">
        <v>422</v>
      </c>
      <c r="V455" s="0" t="s">
        <v>40</v>
      </c>
      <c r="Z455" s="0" t="str">
        <f aca="false">HYPERLINK("http://lutemusic.org/composers/Bartlet/songs/10_of_all_the_birds/10_of_all_the_birds.ft3")</f>
        <v>http://lutemusic.org/composers/Bartlet/songs/10_of_all_the_birds/10_of_all_the_birds.ft3</v>
      </c>
      <c r="AA455" s="0" t="str">
        <f aca="false">HYPERLINK("http://lutemusic.org/composers/Bartlet/songs/10_of_all_the_birds/pdf/10_of_all_the_birds.pdf")</f>
        <v>http://lutemusic.org/composers/Bartlet/songs/10_of_all_the_birds/pdf/10_of_all_the_birds.pdf</v>
      </c>
      <c r="AB455" s="0" t="str">
        <f aca="false">HYPERLINK("http://lutemusic.org/composers/Bartlet/songs/10_of_all_the_birds/midi/10_of_all_the_birds.mid")</f>
        <v>http://lutemusic.org/composers/Bartlet/songs/10_of_all_the_birds/midi/10_of_all_the_birds.mid</v>
      </c>
      <c r="AC455" s="0" t="n">
        <v>1573937408</v>
      </c>
      <c r="AD455" s="0" t="n">
        <v>1586042062</v>
      </c>
    </row>
    <row r="456" customFormat="false" ht="12.8" hidden="false" customHeight="false" outlineLevel="0" collapsed="false">
      <c r="A456" s="0" t="s">
        <v>869</v>
      </c>
      <c r="C456" s="0" t="s">
        <v>864</v>
      </c>
      <c r="E456" s="0" t="s">
        <v>864</v>
      </c>
      <c r="F456" s="0" t="s">
        <v>865</v>
      </c>
      <c r="H456" s="0" t="n">
        <v>1606</v>
      </c>
      <c r="I456" s="0" t="s">
        <v>870</v>
      </c>
      <c r="J456" s="0" t="s">
        <v>36</v>
      </c>
      <c r="K456" s="0" t="s">
        <v>36</v>
      </c>
      <c r="P456" s="0" t="s">
        <v>869</v>
      </c>
      <c r="R456" s="0" t="s">
        <v>51</v>
      </c>
      <c r="S456" s="0" t="s">
        <v>84</v>
      </c>
      <c r="T456" s="0" t="n">
        <v>2</v>
      </c>
      <c r="U456" s="0" t="s">
        <v>422</v>
      </c>
      <c r="V456" s="0" t="s">
        <v>63</v>
      </c>
      <c r="Z456" s="0" t="str">
        <f aca="false">HYPERLINK("http://lutemusic.org/composers/Bartlet/songs/10_of_all_the_birds/10_of_all_the_birds_T.ft3")</f>
        <v>http://lutemusic.org/composers/Bartlet/songs/10_of_all_the_birds/10_of_all_the_birds_T.ft3</v>
      </c>
      <c r="AA456" s="0" t="str">
        <f aca="false">HYPERLINK("http://lutemusic.org/composers/Bartlet/songs/10_of_all_the_birds/pdf/10_of_all_the_birds_T.pdf")</f>
        <v>http://lutemusic.org/composers/Bartlet/songs/10_of_all_the_birds/pdf/10_of_all_the_birds_T.pdf</v>
      </c>
      <c r="AB456" s="0" t="str">
        <f aca="false">HYPERLINK("http://lutemusic.org/composers/Bartlet/songs/10_of_all_the_birds/midi/10_of_all_the_birds_T.mid")</f>
        <v>http://lutemusic.org/composers/Bartlet/songs/10_of_all_the_birds/midi/10_of_all_the_birds_T.mid</v>
      </c>
      <c r="AC456" s="0" t="n">
        <v>1573937408</v>
      </c>
      <c r="AD456" s="0" t="n">
        <v>1586042062</v>
      </c>
    </row>
    <row r="457" customFormat="false" ht="12.8" hidden="false" customHeight="false" outlineLevel="0" collapsed="false">
      <c r="A457" s="0" t="s">
        <v>871</v>
      </c>
      <c r="C457" s="0" t="s">
        <v>864</v>
      </c>
      <c r="E457" s="0" t="s">
        <v>864</v>
      </c>
      <c r="F457" s="0" t="s">
        <v>865</v>
      </c>
      <c r="H457" s="0" t="n">
        <v>1606</v>
      </c>
      <c r="I457" s="0" t="s">
        <v>413</v>
      </c>
      <c r="J457" s="0" t="s">
        <v>36</v>
      </c>
      <c r="K457" s="0" t="s">
        <v>36</v>
      </c>
      <c r="P457" s="0" t="s">
        <v>871</v>
      </c>
      <c r="R457" s="0" t="s">
        <v>51</v>
      </c>
      <c r="S457" s="0" t="s">
        <v>84</v>
      </c>
      <c r="T457" s="0" t="n">
        <v>2</v>
      </c>
      <c r="U457" s="0" t="s">
        <v>473</v>
      </c>
      <c r="V457" s="0" t="s">
        <v>40</v>
      </c>
      <c r="Z457" s="0" t="str">
        <f aca="false">HYPERLINK("http://lutemusic.org/composers/Bartlet/songs/17_whither_runneth_my_sweetheart/17_whither_runneth_my_sweetheart.ft3")</f>
        <v>http://lutemusic.org/composers/Bartlet/songs/17_whither_runneth_my_sweetheart/17_whither_runneth_my_sweetheart.ft3</v>
      </c>
      <c r="AA457" s="0" t="str">
        <f aca="false">HYPERLINK("http://lutemusic.org/composers/Bartlet/songs/17_whither_runneth_my_sweetheart/pdf/17_whither_runneth_my_sweetheart.pdf")</f>
        <v>http://lutemusic.org/composers/Bartlet/songs/17_whither_runneth_my_sweetheart/pdf/17_whither_runneth_my_sweetheart.pdf</v>
      </c>
      <c r="AB457" s="0" t="str">
        <f aca="false">HYPERLINK("http://lutemusic.org/composers/Bartlet/songs/17_whither_runneth_my_sweetheart/midi/17_whither_runneth_my_sweetheart.mid")</f>
        <v>http://lutemusic.org/composers/Bartlet/songs/17_whither_runneth_my_sweetheart/midi/17_whither_runneth_my_sweetheart.mid</v>
      </c>
      <c r="AC457" s="0" t="n">
        <v>1573937408</v>
      </c>
      <c r="AD457" s="0" t="n">
        <v>1586042062</v>
      </c>
    </row>
    <row r="458" customFormat="false" ht="12.8" hidden="false" customHeight="false" outlineLevel="0" collapsed="false">
      <c r="A458" s="0" t="s">
        <v>871</v>
      </c>
      <c r="C458" s="0" t="s">
        <v>864</v>
      </c>
      <c r="E458" s="0" t="s">
        <v>864</v>
      </c>
      <c r="F458" s="0" t="s">
        <v>865</v>
      </c>
      <c r="H458" s="0" t="n">
        <v>1606</v>
      </c>
      <c r="I458" s="0" t="s">
        <v>413</v>
      </c>
      <c r="J458" s="0" t="s">
        <v>36</v>
      </c>
      <c r="K458" s="0" t="s">
        <v>36</v>
      </c>
      <c r="P458" s="0" t="s">
        <v>871</v>
      </c>
      <c r="R458" s="0" t="s">
        <v>51</v>
      </c>
      <c r="S458" s="0" t="s">
        <v>84</v>
      </c>
      <c r="T458" s="0" t="n">
        <v>2</v>
      </c>
      <c r="U458" s="0" t="s">
        <v>473</v>
      </c>
      <c r="V458" s="0" t="s">
        <v>143</v>
      </c>
      <c r="Z458" s="0" t="str">
        <f aca="false">HYPERLINK("http://lutemusic.org/composers/Bartlet/songs/17_whither_runneth_my_sweetheart/17_whither_runneth_my_sweetheart_T.ft3")</f>
        <v>http://lutemusic.org/composers/Bartlet/songs/17_whither_runneth_my_sweetheart/17_whither_runneth_my_sweetheart_T.ft3</v>
      </c>
      <c r="AA458" s="0" t="str">
        <f aca="false">HYPERLINK("http://lutemusic.org/composers/Bartlet/songs/17_whither_runneth_my_sweetheart/pdf/17_whither_runneth_my_sweetheart_T.pdf")</f>
        <v>http://lutemusic.org/composers/Bartlet/songs/17_whither_runneth_my_sweetheart/pdf/17_whither_runneth_my_sweetheart_T.pdf</v>
      </c>
      <c r="AB458" s="0" t="str">
        <f aca="false">HYPERLINK("http://lutemusic.org/composers/Bartlet/songs/17_whither_runneth_my_sweetheart/midi/17_whither_runneth_my_sweetheart_T.mid")</f>
        <v>http://lutemusic.org/composers/Bartlet/songs/17_whither_runneth_my_sweetheart/midi/17_whither_runneth_my_sweetheart_T.mid</v>
      </c>
      <c r="AC458" s="0" t="n">
        <v>1573937408</v>
      </c>
      <c r="AD458" s="0" t="n">
        <v>1586042062</v>
      </c>
    </row>
    <row r="459" customFormat="false" ht="12.8" hidden="false" customHeight="false" outlineLevel="0" collapsed="false">
      <c r="A459" s="0" t="s">
        <v>872</v>
      </c>
      <c r="C459" s="0" t="s">
        <v>873</v>
      </c>
      <c r="E459" s="0" t="s">
        <v>185</v>
      </c>
      <c r="F459" s="0" t="s">
        <v>186</v>
      </c>
      <c r="H459" s="0" t="n">
        <v>1625</v>
      </c>
      <c r="I459" s="0" t="s">
        <v>874</v>
      </c>
      <c r="J459" s="0" t="s">
        <v>36</v>
      </c>
      <c r="K459" s="0" t="s">
        <v>36</v>
      </c>
      <c r="P459" s="0" t="s">
        <v>872</v>
      </c>
      <c r="R459" s="0" t="s">
        <v>83</v>
      </c>
      <c r="S459" s="0" t="s">
        <v>49</v>
      </c>
      <c r="T459" s="0" t="n">
        <v>2</v>
      </c>
      <c r="U459" s="0" t="s">
        <v>446</v>
      </c>
      <c r="Y459" s="0" t="str">
        <f aca="false">HYPERLINK("http://lutemusic.org/facsimiles/GB-Lspencer_Private_Library_of_Robert_Spencer/Margaret_Board_lute_book_1625/27v.png")</f>
        <v>http://lutemusic.org/facsimiles/GB-Lspencer_Private_Library_of_Robert_Spencer/Margaret_Board_lute_book_1625/27v.png</v>
      </c>
      <c r="Z459" s="0" t="str">
        <f aca="false">HYPERLINK("http://lutemusic.org/composers/Basse/27v_basse_the_hunters_carreere.ft3")</f>
        <v>http://lutemusic.org/composers/Basse/27v_basse_the_hunters_carreere.ft3</v>
      </c>
      <c r="AA459" s="0" t="str">
        <f aca="false">HYPERLINK("http://lutemusic.org/composers/Basse/pdf/27v_basse_the_hunters_carreere.pdf")</f>
        <v>http://lutemusic.org/composers/Basse/pdf/27v_basse_the_hunters_carreere.pdf</v>
      </c>
      <c r="AB459" s="0" t="str">
        <f aca="false">HYPERLINK("http://lutemusic.org/composers/Basse/midi/27v_basse_the_hunters_carreere.mid")</f>
        <v>http://lutemusic.org/composers/Basse/midi/27v_basse_the_hunters_carreere.mid</v>
      </c>
      <c r="AC459" s="0" t="n">
        <v>1573937408</v>
      </c>
      <c r="AD459" s="0" t="n">
        <v>1588468779</v>
      </c>
    </row>
    <row r="460" customFormat="false" ht="12.8" hidden="false" customHeight="false" outlineLevel="0" collapsed="false">
      <c r="A460" s="0" t="s">
        <v>875</v>
      </c>
      <c r="C460" s="0" t="s">
        <v>876</v>
      </c>
      <c r="E460" s="0" t="s">
        <v>80</v>
      </c>
      <c r="F460" s="0" t="s">
        <v>81</v>
      </c>
      <c r="H460" s="0" t="n">
        <v>1690</v>
      </c>
      <c r="J460" s="0" t="s">
        <v>36</v>
      </c>
      <c r="K460" s="0" t="s">
        <v>36</v>
      </c>
      <c r="P460" s="0" t="s">
        <v>875</v>
      </c>
      <c r="R460" s="0" t="s">
        <v>83</v>
      </c>
      <c r="S460" s="0" t="s">
        <v>38</v>
      </c>
      <c r="T460" s="0" t="n">
        <v>3</v>
      </c>
      <c r="U460" s="0" t="s">
        <v>85</v>
      </c>
      <c r="Z460" s="0" t="str">
        <f aca="false">HYPERLINK("http://lutemusic.org/composers/Beck/000_beck_katherine_ogie.ft3")</f>
        <v>http://lutemusic.org/composers/Beck/000_beck_katherine_ogie.ft3</v>
      </c>
      <c r="AA460" s="0" t="str">
        <f aca="false">HYPERLINK("http://lutemusic.org/composers/Beck/pdf/000_beck_katherine_ogie.pdf")</f>
        <v>http://lutemusic.org/composers/Beck/pdf/000_beck_katherine_ogie.pdf</v>
      </c>
      <c r="AB460" s="0" t="str">
        <f aca="false">HYPERLINK("http://lutemusic.org/composers/Beck/midi/000_beck_katherine_ogie.mid")</f>
        <v>http://lutemusic.org/composers/Beck/midi/000_beck_katherine_ogie.mid</v>
      </c>
      <c r="AC460" s="0" t="n">
        <v>1573937408</v>
      </c>
      <c r="AD460" s="0" t="n">
        <v>1586042062</v>
      </c>
    </row>
    <row r="461" customFormat="false" ht="12.8" hidden="false" customHeight="false" outlineLevel="0" collapsed="false">
      <c r="A461" s="0" t="s">
        <v>877</v>
      </c>
      <c r="C461" s="0" t="s">
        <v>876</v>
      </c>
      <c r="E461" s="0" t="s">
        <v>80</v>
      </c>
      <c r="F461" s="0" t="s">
        <v>81</v>
      </c>
      <c r="H461" s="0" t="n">
        <v>1690</v>
      </c>
      <c r="I461" s="0" t="s">
        <v>878</v>
      </c>
      <c r="J461" s="0" t="s">
        <v>36</v>
      </c>
      <c r="K461" s="0" t="s">
        <v>36</v>
      </c>
      <c r="P461" s="0" t="s">
        <v>877</v>
      </c>
      <c r="R461" s="0" t="s">
        <v>83</v>
      </c>
      <c r="S461" s="0" t="s">
        <v>62</v>
      </c>
      <c r="T461" s="0" t="n">
        <v>2</v>
      </c>
      <c r="U461" s="0" t="s">
        <v>879</v>
      </c>
      <c r="Z461" s="0" t="str">
        <f aca="false">HYPERLINK("http://lutemusic.org/composers/Beck/013_beck_amarilli.ft3")</f>
        <v>http://lutemusic.org/composers/Beck/013_beck_amarilli.ft3</v>
      </c>
      <c r="AA461" s="0" t="str">
        <f aca="false">HYPERLINK("http://lutemusic.org/composers/Beck/pdf/013_beck_amarilli.pdf")</f>
        <v>http://lutemusic.org/composers/Beck/pdf/013_beck_amarilli.pdf</v>
      </c>
      <c r="AB461" s="0" t="str">
        <f aca="false">HYPERLINK("http://lutemusic.org/composers/Beck/midi/013_beck_amarilli.mid")</f>
        <v>http://lutemusic.org/composers/Beck/midi/013_beck_amarilli.mid</v>
      </c>
      <c r="AC461" s="0" t="n">
        <v>1573937408</v>
      </c>
      <c r="AD461" s="0" t="n">
        <v>1586042062</v>
      </c>
    </row>
    <row r="462" customFormat="false" ht="12.8" hidden="false" customHeight="false" outlineLevel="0" collapsed="false">
      <c r="A462" s="0" t="s">
        <v>880</v>
      </c>
      <c r="C462" s="0" t="s">
        <v>876</v>
      </c>
      <c r="E462" s="0" t="s">
        <v>80</v>
      </c>
      <c r="F462" s="0" t="s">
        <v>81</v>
      </c>
      <c r="H462" s="0" t="n">
        <v>1690</v>
      </c>
      <c r="I462" s="0" t="s">
        <v>881</v>
      </c>
      <c r="J462" s="0" t="s">
        <v>36</v>
      </c>
      <c r="K462" s="0" t="s">
        <v>36</v>
      </c>
      <c r="P462" s="0" t="s">
        <v>880</v>
      </c>
      <c r="R462" s="0" t="s">
        <v>83</v>
      </c>
      <c r="S462" s="0" t="s">
        <v>62</v>
      </c>
      <c r="T462" s="0" t="n">
        <v>3</v>
      </c>
      <c r="U462" s="0" t="s">
        <v>85</v>
      </c>
      <c r="Z462" s="0" t="str">
        <f aca="false">HYPERLINK("http://lutemusic.org/composers/Beck/022_beck_nathaniel_gordon.ft3")</f>
        <v>http://lutemusic.org/composers/Beck/022_beck_nathaniel_gordon.ft3</v>
      </c>
      <c r="AA462" s="0" t="str">
        <f aca="false">HYPERLINK("http://lutemusic.org/composers/Beck/pdf/022_beck_nathaniel_gordon.pdf")</f>
        <v>http://lutemusic.org/composers/Beck/pdf/022_beck_nathaniel_gordon.pdf</v>
      </c>
      <c r="AB462" s="0" t="str">
        <f aca="false">HYPERLINK("http://lutemusic.org/composers/Beck/midi/022_beck_nathaniel_gordon.mid")</f>
        <v>http://lutemusic.org/composers/Beck/midi/022_beck_nathaniel_gordon.mid</v>
      </c>
      <c r="AC462" s="0" t="n">
        <v>1573937408</v>
      </c>
      <c r="AD462" s="0" t="n">
        <v>1586042062</v>
      </c>
    </row>
    <row r="463" customFormat="false" ht="12.8" hidden="false" customHeight="false" outlineLevel="0" collapsed="false">
      <c r="A463" s="0" t="s">
        <v>384</v>
      </c>
      <c r="C463" s="0" t="s">
        <v>876</v>
      </c>
      <c r="E463" s="0" t="s">
        <v>80</v>
      </c>
      <c r="F463" s="0" t="s">
        <v>81</v>
      </c>
      <c r="H463" s="0" t="n">
        <v>1690</v>
      </c>
      <c r="I463" s="0" t="s">
        <v>173</v>
      </c>
      <c r="J463" s="0" t="s">
        <v>36</v>
      </c>
      <c r="K463" s="0" t="s">
        <v>36</v>
      </c>
      <c r="P463" s="0" t="s">
        <v>384</v>
      </c>
      <c r="R463" s="0" t="s">
        <v>83</v>
      </c>
      <c r="S463" s="0" t="s">
        <v>119</v>
      </c>
      <c r="T463" s="0" t="n">
        <v>3</v>
      </c>
      <c r="U463" s="0" t="s">
        <v>879</v>
      </c>
      <c r="Z463" s="0" t="str">
        <f aca="false">HYPERLINK("http://lutemusic.org/composers/Beck/062_beck_green_sleeves.ft3")</f>
        <v>http://lutemusic.org/composers/Beck/062_beck_green_sleeves.ft3</v>
      </c>
      <c r="AA463" s="0" t="str">
        <f aca="false">HYPERLINK("http://lutemusic.org/composers/Beck/pdf/062_beck_green_sleeves.pdf")</f>
        <v>http://lutemusic.org/composers/Beck/pdf/062_beck_green_sleeves.pdf</v>
      </c>
      <c r="AB463" s="0" t="str">
        <f aca="false">HYPERLINK("http://lutemusic.org/composers/Beck/midi/062_beck_green_sleeves.mid")</f>
        <v>http://lutemusic.org/composers/Beck/midi/062_beck_green_sleeves.mid</v>
      </c>
      <c r="AC463" s="0" t="n">
        <v>1573937408</v>
      </c>
      <c r="AD463" s="0" t="n">
        <v>1586042062</v>
      </c>
    </row>
    <row r="464" customFormat="false" ht="12.8" hidden="false" customHeight="false" outlineLevel="0" collapsed="false">
      <c r="A464" s="0" t="s">
        <v>882</v>
      </c>
      <c r="C464" s="0" t="s">
        <v>883</v>
      </c>
      <c r="E464" s="0" t="s">
        <v>402</v>
      </c>
      <c r="F464" s="0" t="s">
        <v>403</v>
      </c>
      <c r="H464" s="0" t="n">
        <v>1584</v>
      </c>
      <c r="I464" s="0" t="s">
        <v>884</v>
      </c>
      <c r="J464" s="0" t="s">
        <v>36</v>
      </c>
      <c r="K464" s="0" t="s">
        <v>405</v>
      </c>
      <c r="P464" s="0" t="s">
        <v>882</v>
      </c>
      <c r="R464" s="0" t="s">
        <v>51</v>
      </c>
      <c r="S464" s="0" t="s">
        <v>119</v>
      </c>
      <c r="T464" s="0" t="n">
        <v>3</v>
      </c>
      <c r="U464" s="0" t="s">
        <v>461</v>
      </c>
      <c r="V464" s="0" t="s">
        <v>40</v>
      </c>
      <c r="Z464" s="0" t="str">
        <f aca="false">HYPERLINK("http://lutemusic.org/composers/Berchem/13_o_sio_potesi_donna.ft3")</f>
        <v>http://lutemusic.org/composers/Berchem/13_o_sio_potesi_donna.ft3</v>
      </c>
      <c r="AA464" s="0" t="str">
        <f aca="false">HYPERLINK("http://lutemusic.org/composers/Berchem/pdf/13_o_sio_potesi_donna.pdf")</f>
        <v>http://lutemusic.org/composers/Berchem/pdf/13_o_sio_potesi_donna.pdf</v>
      </c>
      <c r="AB464" s="0" t="str">
        <f aca="false">HYPERLINK("http://lutemusic.org/composers/Berchem/midi/13_o_sio_potesi_donna.mid")</f>
        <v>http://lutemusic.org/composers/Berchem/midi/13_o_sio_potesi_donna.mid</v>
      </c>
      <c r="AC464" s="0" t="n">
        <v>1573937408</v>
      </c>
      <c r="AD464" s="0" t="n">
        <v>1586042062</v>
      </c>
    </row>
    <row r="465" customFormat="false" ht="12.8" hidden="false" customHeight="false" outlineLevel="0" collapsed="false">
      <c r="A465" s="0" t="s">
        <v>882</v>
      </c>
      <c r="C465" s="0" t="s">
        <v>883</v>
      </c>
      <c r="E465" s="0" t="s">
        <v>402</v>
      </c>
      <c r="F465" s="0" t="s">
        <v>403</v>
      </c>
      <c r="H465" s="0" t="n">
        <v>1584</v>
      </c>
      <c r="I465" s="0" t="s">
        <v>884</v>
      </c>
      <c r="J465" s="0" t="s">
        <v>36</v>
      </c>
      <c r="K465" s="0" t="s">
        <v>405</v>
      </c>
      <c r="P465" s="0" t="s">
        <v>882</v>
      </c>
      <c r="R465" s="0" t="s">
        <v>51</v>
      </c>
      <c r="S465" s="0" t="s">
        <v>119</v>
      </c>
      <c r="T465" s="0" t="n">
        <v>3</v>
      </c>
      <c r="U465" s="0" t="s">
        <v>461</v>
      </c>
      <c r="V465" s="0" t="s">
        <v>63</v>
      </c>
      <c r="Z465" s="0" t="str">
        <f aca="false">HYPERLINK("http://lutemusic.org/composers/Berchem/13_o_sio_potesi_donna_T.ft3")</f>
        <v>http://lutemusic.org/composers/Berchem/13_o_sio_potesi_donna_T.ft3</v>
      </c>
      <c r="AA465" s="0" t="str">
        <f aca="false">HYPERLINK("http://lutemusic.org/composers/Berchem/pdf/13_o_sio_potesi_donna_T.pdf")</f>
        <v>http://lutemusic.org/composers/Berchem/pdf/13_o_sio_potesi_donna_T.pdf</v>
      </c>
      <c r="AB465" s="0" t="str">
        <f aca="false">HYPERLINK("http://lutemusic.org/composers/Berchem/midi/13_o_sio_potesi_donna_T.mid")</f>
        <v>http://lutemusic.org/composers/Berchem/midi/13_o_sio_potesi_donna_T.mid</v>
      </c>
      <c r="AC465" s="0" t="n">
        <v>1573937408</v>
      </c>
      <c r="AD465" s="0" t="n">
        <v>1586042062</v>
      </c>
    </row>
    <row r="466" customFormat="false" ht="12.8" hidden="false" customHeight="false" outlineLevel="0" collapsed="false">
      <c r="A466" s="0" t="s">
        <v>885</v>
      </c>
      <c r="C466" s="0" t="s">
        <v>886</v>
      </c>
      <c r="E466" s="0" t="s">
        <v>886</v>
      </c>
      <c r="F466" s="0" t="s">
        <v>887</v>
      </c>
      <c r="G466" s="0" t="n">
        <v>1</v>
      </c>
      <c r="H466" s="0" t="n">
        <v>1546</v>
      </c>
      <c r="I466" s="0" t="s">
        <v>888</v>
      </c>
      <c r="J466" s="0" t="s">
        <v>36</v>
      </c>
      <c r="K466" s="0" t="s">
        <v>405</v>
      </c>
      <c r="P466" s="0" t="s">
        <v>885</v>
      </c>
      <c r="R466" s="0" t="s">
        <v>382</v>
      </c>
      <c r="S466" s="0" t="s">
        <v>49</v>
      </c>
      <c r="T466" s="0" t="n">
        <v>3</v>
      </c>
      <c r="U466" s="0" t="s">
        <v>63</v>
      </c>
      <c r="Y466" s="0" t="str">
        <f aca="false">HYPERLINK("http://lutemusic.org/facsimiles/BianchiniD/Intabolatura_de_Lauto/v.1_1546/a2.png")</f>
        <v>http://lutemusic.org/facsimiles/BianchiniD/Intabolatura_de_Lauto/v.1_1546/a2.png</v>
      </c>
      <c r="Z466" s="0" t="str">
        <f aca="false">HYPERLINK("http://lutemusic.org/composers/Bianchini/01_ricercar_01.ft3")</f>
        <v>http://lutemusic.org/composers/Bianchini/01_ricercar_01.ft3</v>
      </c>
      <c r="AA466" s="0" t="str">
        <f aca="false">HYPERLINK("http://lutemusic.org/composers/Bianchini/pdf/01_ricercar_01.pdf")</f>
        <v>http://lutemusic.org/composers/Bianchini/pdf/01_ricercar_01.pdf</v>
      </c>
      <c r="AB466" s="0" t="str">
        <f aca="false">HYPERLINK("http://lutemusic.org/composers/Bianchini/midi/01_ricercar_01.mid")</f>
        <v>http://lutemusic.org/composers/Bianchini/midi/01_ricercar_01.mid</v>
      </c>
      <c r="AC466" s="0" t="n">
        <v>1573937408</v>
      </c>
      <c r="AD466" s="0" t="n">
        <v>1588612305</v>
      </c>
    </row>
    <row r="467" customFormat="false" ht="12.8" hidden="false" customHeight="false" outlineLevel="0" collapsed="false">
      <c r="A467" s="0" t="s">
        <v>889</v>
      </c>
      <c r="C467" s="0" t="s">
        <v>886</v>
      </c>
      <c r="E467" s="0" t="s">
        <v>886</v>
      </c>
      <c r="F467" s="0" t="s">
        <v>887</v>
      </c>
      <c r="G467" s="0" t="n">
        <v>1</v>
      </c>
      <c r="H467" s="0" t="n">
        <v>1546</v>
      </c>
      <c r="I467" s="0" t="s">
        <v>890</v>
      </c>
      <c r="J467" s="0" t="s">
        <v>36</v>
      </c>
      <c r="K467" s="0" t="s">
        <v>405</v>
      </c>
      <c r="P467" s="0" t="s">
        <v>889</v>
      </c>
      <c r="R467" s="0" t="s">
        <v>382</v>
      </c>
      <c r="S467" s="0" t="s">
        <v>84</v>
      </c>
      <c r="T467" s="0" t="n">
        <v>3</v>
      </c>
      <c r="U467" s="0" t="s">
        <v>63</v>
      </c>
      <c r="Y467" s="0" t="str">
        <f aca="false">HYPERLINK("http://lutemusic.org/facsimiles/BianchiniD/Intabolatura_de_Lauto/v.1_1546/a2v.png")</f>
        <v>http://lutemusic.org/facsimiles/BianchiniD/Intabolatura_de_Lauto/v.1_1546/a2v.png</v>
      </c>
      <c r="Z467" s="0" t="str">
        <f aca="false">HYPERLINK("http://lutemusic.org/composers/Bianchini/02_ricercar_02.ft3")</f>
        <v>http://lutemusic.org/composers/Bianchini/02_ricercar_02.ft3</v>
      </c>
      <c r="AA467" s="0" t="str">
        <f aca="false">HYPERLINK("http://lutemusic.org/composers/Bianchini/pdf/02_ricercar_02.pdf")</f>
        <v>http://lutemusic.org/composers/Bianchini/pdf/02_ricercar_02.pdf</v>
      </c>
      <c r="AB467" s="0" t="str">
        <f aca="false">HYPERLINK("http://lutemusic.org/composers/Bianchini/midi/02_ricercar_02.mid")</f>
        <v>http://lutemusic.org/composers/Bianchini/midi/02_ricercar_02.mid</v>
      </c>
      <c r="AC467" s="0" t="n">
        <v>1573937408</v>
      </c>
      <c r="AD467" s="0" t="n">
        <v>1588612305</v>
      </c>
    </row>
    <row r="468" customFormat="false" ht="12.8" hidden="false" customHeight="false" outlineLevel="0" collapsed="false">
      <c r="A468" s="0" t="s">
        <v>891</v>
      </c>
      <c r="C468" s="0" t="s">
        <v>886</v>
      </c>
      <c r="E468" s="0" t="s">
        <v>886</v>
      </c>
      <c r="F468" s="0" t="s">
        <v>887</v>
      </c>
      <c r="G468" s="0" t="n">
        <v>1</v>
      </c>
      <c r="H468" s="0" t="n">
        <v>1546</v>
      </c>
      <c r="I468" s="0" t="s">
        <v>892</v>
      </c>
      <c r="J468" s="0" t="s">
        <v>36</v>
      </c>
      <c r="K468" s="0" t="s">
        <v>405</v>
      </c>
      <c r="P468" s="0" t="s">
        <v>891</v>
      </c>
      <c r="R468" s="0" t="s">
        <v>382</v>
      </c>
      <c r="S468" s="0" t="s">
        <v>66</v>
      </c>
      <c r="T468" s="0" t="n">
        <v>3</v>
      </c>
      <c r="U468" s="0" t="s">
        <v>63</v>
      </c>
      <c r="Y468" s="0" t="str">
        <f aca="false">HYPERLINK("http://lutemusic.org/facsimiles/BianchiniD/Intabolatura_de_Lauto/v.1_1546/a4.png")</f>
        <v>http://lutemusic.org/facsimiles/BianchiniD/Intabolatura_de_Lauto/v.1_1546/a4.png</v>
      </c>
      <c r="Z468" s="0" t="str">
        <f aca="false">HYPERLINK("http://lutemusic.org/composers/Bianchini/03_ricercar_03.ft3")</f>
        <v>http://lutemusic.org/composers/Bianchini/03_ricercar_03.ft3</v>
      </c>
      <c r="AA468" s="0" t="str">
        <f aca="false">HYPERLINK("http://lutemusic.org/composers/Bianchini/pdf/03_ricercar_03.pdf")</f>
        <v>http://lutemusic.org/composers/Bianchini/pdf/03_ricercar_03.pdf</v>
      </c>
      <c r="AB468" s="0" t="str">
        <f aca="false">HYPERLINK("http://lutemusic.org/composers/Bianchini/midi/03_ricercar_03.mid")</f>
        <v>http://lutemusic.org/composers/Bianchini/midi/03_ricercar_03.mid</v>
      </c>
      <c r="AC468" s="0" t="n">
        <v>1573937408</v>
      </c>
      <c r="AD468" s="0" t="n">
        <v>1588612305</v>
      </c>
    </row>
    <row r="469" customFormat="false" ht="12.8" hidden="false" customHeight="false" outlineLevel="0" collapsed="false">
      <c r="A469" s="0" t="s">
        <v>893</v>
      </c>
      <c r="C469" s="0" t="s">
        <v>886</v>
      </c>
      <c r="E469" s="0" t="s">
        <v>886</v>
      </c>
      <c r="F469" s="0" t="s">
        <v>887</v>
      </c>
      <c r="G469" s="0" t="n">
        <v>1</v>
      </c>
      <c r="H469" s="0" t="n">
        <v>1546</v>
      </c>
      <c r="I469" s="0" t="s">
        <v>894</v>
      </c>
      <c r="J469" s="0" t="s">
        <v>36</v>
      </c>
      <c r="K469" s="0" t="s">
        <v>405</v>
      </c>
      <c r="P469" s="0" t="s">
        <v>893</v>
      </c>
      <c r="R469" s="0" t="s">
        <v>61</v>
      </c>
      <c r="S469" s="0" t="s">
        <v>62</v>
      </c>
      <c r="T469" s="0" t="n">
        <v>3</v>
      </c>
      <c r="U469" s="0" t="s">
        <v>63</v>
      </c>
      <c r="Y469" s="0" t="str">
        <f aca="false">HYPERLINK("http://lutemusic.org/facsimiles/BianchiniD/Intabolatura_de_Lauto/v.1_1546/a3v.png")</f>
        <v>http://lutemusic.org/facsimiles/BianchiniD/Intabolatura_de_Lauto/v.1_1546/a3v.png</v>
      </c>
      <c r="Z469" s="0" t="str">
        <f aca="false">HYPERLINK("http://lutemusic.org/composers/Bianchini/04_duo.ft3")</f>
        <v>http://lutemusic.org/composers/Bianchini/04_duo.ft3</v>
      </c>
      <c r="AA469" s="0" t="str">
        <f aca="false">HYPERLINK("http://lutemusic.org/composers/Bianchini/pdf/04_duo.pdf")</f>
        <v>http://lutemusic.org/composers/Bianchini/pdf/04_duo.pdf</v>
      </c>
      <c r="AB469" s="0" t="str">
        <f aca="false">HYPERLINK("http://lutemusic.org/composers/Bianchini/midi/04_duo.mid")</f>
        <v>http://lutemusic.org/composers/Bianchini/midi/04_duo.mid</v>
      </c>
      <c r="AC469" s="0" t="n">
        <v>1573937408</v>
      </c>
      <c r="AD469" s="0" t="n">
        <v>1588612305</v>
      </c>
    </row>
    <row r="470" customFormat="false" ht="12.8" hidden="false" customHeight="false" outlineLevel="0" collapsed="false">
      <c r="A470" s="0" t="s">
        <v>895</v>
      </c>
      <c r="C470" s="0" t="s">
        <v>886</v>
      </c>
      <c r="E470" s="0" t="s">
        <v>886</v>
      </c>
      <c r="F470" s="0" t="s">
        <v>887</v>
      </c>
      <c r="G470" s="0" t="n">
        <v>1</v>
      </c>
      <c r="H470" s="0" t="n">
        <v>1546</v>
      </c>
      <c r="I470" s="0" t="s">
        <v>896</v>
      </c>
      <c r="J470" s="0" t="s">
        <v>36</v>
      </c>
      <c r="K470" s="0" t="s">
        <v>405</v>
      </c>
      <c r="P470" s="0" t="s">
        <v>895</v>
      </c>
      <c r="R470" s="0" t="s">
        <v>83</v>
      </c>
      <c r="S470" s="0" t="s">
        <v>62</v>
      </c>
      <c r="T470" s="0" t="n">
        <v>3</v>
      </c>
      <c r="U470" s="0" t="s">
        <v>63</v>
      </c>
      <c r="Y470" s="0" t="str">
        <f aca="false">HYPERLINK("http://lutemusic.org/facsimiles/BianchiniD/Intabolatura_de_Lauto/v.1_1546/b1.png")</f>
        <v>http://lutemusic.org/facsimiles/BianchiniD/Intabolatura_de_Lauto/v.1_1546/b1.png</v>
      </c>
      <c r="Z470" s="0" t="str">
        <f aca="false">HYPERLINK("http://lutemusic.org/composers/Bianchini/05_con_lei_fuss_io.ft3")</f>
        <v>http://lutemusic.org/composers/Bianchini/05_con_lei_fuss_io.ft3</v>
      </c>
      <c r="AA470" s="0" t="str">
        <f aca="false">HYPERLINK("http://lutemusic.org/composers/Bianchini/pdf/05_con_lei_fuss_io.pdf")</f>
        <v>http://lutemusic.org/composers/Bianchini/pdf/05_con_lei_fuss_io.pdf</v>
      </c>
      <c r="AB470" s="0" t="str">
        <f aca="false">HYPERLINK("http://lutemusic.org/composers/Bianchini/midi/05_con_lei_fuss_io.mid")</f>
        <v>http://lutemusic.org/composers/Bianchini/midi/05_con_lei_fuss_io.mid</v>
      </c>
      <c r="AC470" s="0" t="n">
        <v>1573937408</v>
      </c>
      <c r="AD470" s="0" t="n">
        <v>1588612305</v>
      </c>
    </row>
    <row r="471" customFormat="false" ht="12.8" hidden="false" customHeight="false" outlineLevel="0" collapsed="false">
      <c r="A471" s="0" t="s">
        <v>897</v>
      </c>
      <c r="C471" s="0" t="s">
        <v>886</v>
      </c>
      <c r="E471" s="0" t="s">
        <v>886</v>
      </c>
      <c r="F471" s="0" t="s">
        <v>887</v>
      </c>
      <c r="G471" s="0" t="n">
        <v>1</v>
      </c>
      <c r="H471" s="0" t="n">
        <v>1546</v>
      </c>
      <c r="I471" s="0" t="s">
        <v>898</v>
      </c>
      <c r="J471" s="0" t="s">
        <v>36</v>
      </c>
      <c r="K471" s="0" t="s">
        <v>405</v>
      </c>
      <c r="P471" s="0" t="s">
        <v>897</v>
      </c>
      <c r="R471" s="0" t="s">
        <v>83</v>
      </c>
      <c r="S471" s="0" t="s">
        <v>480</v>
      </c>
      <c r="T471" s="0" t="n">
        <v>3</v>
      </c>
      <c r="U471" s="0" t="s">
        <v>63</v>
      </c>
      <c r="Y471" s="0" t="str">
        <f aca="false">HYPERLINK("http://lutemusic.org/facsimiles/BianchiniD/Intabolatura_de_Lauto/v.1_1546/b1v.png")</f>
        <v>http://lutemusic.org/facsimiles/BianchiniD/Intabolatura_de_Lauto/v.1_1546/b1v.png</v>
      </c>
      <c r="Z471" s="0" t="str">
        <f aca="false">HYPERLINK("http://lutemusic.org/composers/Bianchini/06_aupres_de_vous.ft3")</f>
        <v>http://lutemusic.org/composers/Bianchini/06_aupres_de_vous.ft3</v>
      </c>
      <c r="AA471" s="0" t="str">
        <f aca="false">HYPERLINK("http://lutemusic.org/composers/Bianchini/pdf/06_aupres_de_vous.pdf")</f>
        <v>http://lutemusic.org/composers/Bianchini/pdf/06_aupres_de_vous.pdf</v>
      </c>
      <c r="AB471" s="0" t="str">
        <f aca="false">HYPERLINK("http://lutemusic.org/composers/Bianchini/midi/06_aupres_de_vous.mid")</f>
        <v>http://lutemusic.org/composers/Bianchini/midi/06_aupres_de_vous.mid</v>
      </c>
      <c r="AC471" s="0" t="n">
        <v>1573937408</v>
      </c>
      <c r="AD471" s="0" t="n">
        <v>1588612305</v>
      </c>
    </row>
    <row r="472" customFormat="false" ht="12.8" hidden="false" customHeight="false" outlineLevel="0" collapsed="false">
      <c r="A472" s="0" t="s">
        <v>899</v>
      </c>
      <c r="C472" s="0" t="s">
        <v>886</v>
      </c>
      <c r="E472" s="0" t="s">
        <v>886</v>
      </c>
      <c r="F472" s="0" t="s">
        <v>887</v>
      </c>
      <c r="G472" s="0" t="n">
        <v>1</v>
      </c>
      <c r="H472" s="0" t="n">
        <v>1546</v>
      </c>
      <c r="I472" s="0" t="s">
        <v>900</v>
      </c>
      <c r="J472" s="0" t="s">
        <v>36</v>
      </c>
      <c r="K472" s="0" t="s">
        <v>405</v>
      </c>
      <c r="P472" s="0" t="s">
        <v>899</v>
      </c>
      <c r="R472" s="0" t="s">
        <v>83</v>
      </c>
      <c r="S472" s="0" t="s">
        <v>66</v>
      </c>
      <c r="T472" s="0" t="n">
        <v>3</v>
      </c>
      <c r="U472" s="0" t="s">
        <v>63</v>
      </c>
      <c r="Y472" s="0" t="str">
        <f aca="false">HYPERLINK("http://lutemusic.org/facsimiles/BianchiniD/Intabolatura_de_Lauto/v.1_1546/b2v.png")</f>
        <v>http://lutemusic.org/facsimiles/BianchiniD/Intabolatura_de_Lauto/v.1_1546/b2v.png</v>
      </c>
      <c r="Z472" s="0" t="str">
        <f aca="false">HYPERLINK("http://lutemusic.org/composers/Bianchini/07_madonna_io_non_lo_so.ft3")</f>
        <v>http://lutemusic.org/composers/Bianchini/07_madonna_io_non_lo_so.ft3</v>
      </c>
      <c r="AA472" s="0" t="str">
        <f aca="false">HYPERLINK("http://lutemusic.org/composers/Bianchini/pdf/07_madonna_io_non_lo_so.pdf")</f>
        <v>http://lutemusic.org/composers/Bianchini/pdf/07_madonna_io_non_lo_so.pdf</v>
      </c>
      <c r="AB472" s="0" t="str">
        <f aca="false">HYPERLINK("http://lutemusic.org/composers/Bianchini/midi/07_madonna_io_non_lo_so.mid")</f>
        <v>http://lutemusic.org/composers/Bianchini/midi/07_madonna_io_non_lo_so.mid</v>
      </c>
      <c r="AC472" s="0" t="n">
        <v>1573937408</v>
      </c>
      <c r="AD472" s="0" t="n">
        <v>1588612306</v>
      </c>
    </row>
    <row r="473" customFormat="false" ht="12.8" hidden="false" customHeight="false" outlineLevel="0" collapsed="false">
      <c r="A473" s="0" t="s">
        <v>901</v>
      </c>
      <c r="C473" s="0" t="s">
        <v>886</v>
      </c>
      <c r="E473" s="0" t="s">
        <v>886</v>
      </c>
      <c r="F473" s="0" t="s">
        <v>887</v>
      </c>
      <c r="G473" s="0" t="n">
        <v>1</v>
      </c>
      <c r="H473" s="0" t="n">
        <v>1546</v>
      </c>
      <c r="I473" s="0" t="s">
        <v>902</v>
      </c>
      <c r="J473" s="0" t="s">
        <v>36</v>
      </c>
      <c r="K473" s="0" t="s">
        <v>405</v>
      </c>
      <c r="P473" s="0" t="s">
        <v>901</v>
      </c>
      <c r="R473" s="0" t="s">
        <v>903</v>
      </c>
      <c r="S473" s="0" t="s">
        <v>66</v>
      </c>
      <c r="T473" s="0" t="n">
        <v>3</v>
      </c>
      <c r="U473" s="0" t="s">
        <v>63</v>
      </c>
      <c r="Y473" s="0" t="str">
        <f aca="false">HYPERLINK("http://lutemusic.org/facsimiles/BianchiniD/Intabolatura_de_Lauto/v.1_1546/b3.png")</f>
        <v>http://lutemusic.org/facsimiles/BianchiniD/Intabolatura_de_Lauto/v.1_1546/b3.png</v>
      </c>
      <c r="Z473" s="0" t="str">
        <f aca="false">HYPERLINK("http://lutemusic.org/composers/Bianchini/08_pass_e_mezo.ft3")</f>
        <v>http://lutemusic.org/composers/Bianchini/08_pass_e_mezo.ft3</v>
      </c>
      <c r="AA473" s="0" t="str">
        <f aca="false">HYPERLINK("http://lutemusic.org/composers/Bianchini/pdf/08_pass_e_mezo.pdf")</f>
        <v>http://lutemusic.org/composers/Bianchini/pdf/08_pass_e_mezo.pdf</v>
      </c>
      <c r="AB473" s="0" t="str">
        <f aca="false">HYPERLINK("http://lutemusic.org/composers/Bianchini/midi/08_pass_e_mezo.mid")</f>
        <v>http://lutemusic.org/composers/Bianchini/midi/08_pass_e_mezo.mid</v>
      </c>
      <c r="AC473" s="0" t="n">
        <v>1573937408</v>
      </c>
      <c r="AD473" s="0" t="n">
        <v>1588612306</v>
      </c>
    </row>
    <row r="474" customFormat="false" ht="12.8" hidden="false" customHeight="false" outlineLevel="0" collapsed="false">
      <c r="A474" s="0" t="s">
        <v>904</v>
      </c>
      <c r="C474" s="0" t="s">
        <v>886</v>
      </c>
      <c r="E474" s="0" t="s">
        <v>886</v>
      </c>
      <c r="F474" s="0" t="s">
        <v>887</v>
      </c>
      <c r="G474" s="0" t="n">
        <v>1</v>
      </c>
      <c r="H474" s="0" t="n">
        <v>1546</v>
      </c>
      <c r="I474" s="0" t="s">
        <v>905</v>
      </c>
      <c r="J474" s="0" t="s">
        <v>36</v>
      </c>
      <c r="K474" s="0" t="s">
        <v>405</v>
      </c>
      <c r="P474" s="0" t="s">
        <v>906</v>
      </c>
      <c r="R474" s="0" t="s">
        <v>77</v>
      </c>
      <c r="S474" s="0" t="s">
        <v>66</v>
      </c>
      <c r="T474" s="0" t="n">
        <v>3</v>
      </c>
      <c r="U474" s="0" t="s">
        <v>63</v>
      </c>
      <c r="Y474" s="0" t="str">
        <f aca="false">HYPERLINK("http://lutemusic.org/facsimiles/BianchiniD/Intabolatura_de_Lauto/v.1_1546/b3v.png")</f>
        <v>http://lutemusic.org/facsimiles/BianchiniD/Intabolatura_de_Lauto/v.1_1546/b3v.png</v>
      </c>
      <c r="Z474" s="0" t="str">
        <f aca="false">HYPERLINK("http://lutemusic.org/composers/Bianchini/09_padoana.ft3")</f>
        <v>http://lutemusic.org/composers/Bianchini/09_padoana.ft3</v>
      </c>
      <c r="AA474" s="0" t="str">
        <f aca="false">HYPERLINK("http://lutemusic.org/composers/Bianchini/pdf/09_padoana.pdf")</f>
        <v>http://lutemusic.org/composers/Bianchini/pdf/09_padoana.pdf</v>
      </c>
      <c r="AB474" s="0" t="str">
        <f aca="false">HYPERLINK("http://lutemusic.org/composers/Bianchini/midi/09_padoana.mid")</f>
        <v>http://lutemusic.org/composers/Bianchini/midi/09_padoana.mid</v>
      </c>
      <c r="AC474" s="0" t="n">
        <v>1573937408</v>
      </c>
      <c r="AD474" s="0" t="n">
        <v>1588612306</v>
      </c>
    </row>
    <row r="475" customFormat="false" ht="12.8" hidden="false" customHeight="false" outlineLevel="0" collapsed="false">
      <c r="A475" s="0" t="s">
        <v>907</v>
      </c>
      <c r="C475" s="0" t="s">
        <v>886</v>
      </c>
      <c r="E475" s="0" t="s">
        <v>886</v>
      </c>
      <c r="F475" s="0" t="s">
        <v>887</v>
      </c>
      <c r="G475" s="0" t="n">
        <v>1</v>
      </c>
      <c r="H475" s="0" t="n">
        <v>1546</v>
      </c>
      <c r="I475" s="0" t="s">
        <v>908</v>
      </c>
      <c r="J475" s="0" t="s">
        <v>36</v>
      </c>
      <c r="K475" s="0" t="s">
        <v>405</v>
      </c>
      <c r="P475" s="0" t="s">
        <v>907</v>
      </c>
      <c r="R475" s="0" t="s">
        <v>268</v>
      </c>
      <c r="S475" s="0" t="s">
        <v>66</v>
      </c>
      <c r="T475" s="0" t="n">
        <v>3</v>
      </c>
      <c r="U475" s="0" t="s">
        <v>63</v>
      </c>
      <c r="Y475" s="0" t="str">
        <f aca="false">HYPERLINK("http://lutemusic.org/facsimiles/BianchiniD/Intabolatura_de_Lauto/v.1_1546/b3v.png")</f>
        <v>http://lutemusic.org/facsimiles/BianchiniD/Intabolatura_de_Lauto/v.1_1546/b3v.png</v>
      </c>
      <c r="Z475" s="0" t="str">
        <f aca="false">HYPERLINK("http://lutemusic.org/composers/Bianchini/10_saltarello.ft3")</f>
        <v>http://lutemusic.org/composers/Bianchini/10_saltarello.ft3</v>
      </c>
      <c r="AA475" s="0" t="str">
        <f aca="false">HYPERLINK("http://lutemusic.org/composers/Bianchini/pdf/10_saltarello.pdf")</f>
        <v>http://lutemusic.org/composers/Bianchini/pdf/10_saltarello.pdf</v>
      </c>
      <c r="AB475" s="0" t="str">
        <f aca="false">HYPERLINK("http://lutemusic.org/composers/Bianchini/midi/10_saltarello.mid")</f>
        <v>http://lutemusic.org/composers/Bianchini/midi/10_saltarello.mid</v>
      </c>
      <c r="AC475" s="0" t="n">
        <v>1573937408</v>
      </c>
      <c r="AD475" s="0" t="n">
        <v>1588612306</v>
      </c>
    </row>
    <row r="476" customFormat="false" ht="12.8" hidden="false" customHeight="false" outlineLevel="0" collapsed="false">
      <c r="A476" s="0" t="s">
        <v>909</v>
      </c>
      <c r="C476" s="0" t="s">
        <v>886</v>
      </c>
      <c r="E476" s="0" t="s">
        <v>886</v>
      </c>
      <c r="F476" s="0" t="s">
        <v>887</v>
      </c>
      <c r="G476" s="0" t="n">
        <v>1</v>
      </c>
      <c r="H476" s="0" t="n">
        <v>1546</v>
      </c>
      <c r="I476" s="0" t="s">
        <v>910</v>
      </c>
      <c r="J476" s="0" t="s">
        <v>36</v>
      </c>
      <c r="K476" s="0" t="s">
        <v>405</v>
      </c>
      <c r="P476" s="0" t="s">
        <v>911</v>
      </c>
      <c r="R476" s="0" t="s">
        <v>202</v>
      </c>
      <c r="S476" s="0" t="s">
        <v>66</v>
      </c>
      <c r="T476" s="0" t="n">
        <v>2</v>
      </c>
      <c r="U476" s="0" t="s">
        <v>63</v>
      </c>
      <c r="Y476" s="0" t="str">
        <f aca="false">HYPERLINK("http://lutemusic.org/facsimiles/BianchiniD/Intabolatura_de_Lauto/v.1_1546/b4.png")</f>
        <v>http://lutemusic.org/facsimiles/BianchiniD/Intabolatura_de_Lauto/v.1_1546/b4.png</v>
      </c>
      <c r="Z476" s="0" t="str">
        <f aca="false">HYPERLINK("http://lutemusic.org/composers/Bianchini/11_le_forze_derculle.ft3")</f>
        <v>http://lutemusic.org/composers/Bianchini/11_le_forze_derculle.ft3</v>
      </c>
      <c r="AA476" s="0" t="str">
        <f aca="false">HYPERLINK("http://lutemusic.org/composers/Bianchini/pdf/11_le_forze_derculle.pdf")</f>
        <v>http://lutemusic.org/composers/Bianchini/pdf/11_le_forze_derculle.pdf</v>
      </c>
      <c r="AB476" s="0" t="str">
        <f aca="false">HYPERLINK("http://lutemusic.org/composers/Bianchini/midi/11_le_forze_derculle.mid")</f>
        <v>http://lutemusic.org/composers/Bianchini/midi/11_le_forze_derculle.mid</v>
      </c>
      <c r="AC476" s="0" t="n">
        <v>1573937408</v>
      </c>
      <c r="AD476" s="0" t="n">
        <v>1588612306</v>
      </c>
    </row>
    <row r="477" customFormat="false" ht="12.8" hidden="false" customHeight="false" outlineLevel="0" collapsed="false">
      <c r="A477" s="0" t="s">
        <v>912</v>
      </c>
      <c r="C477" s="0" t="s">
        <v>886</v>
      </c>
      <c r="E477" s="0" t="s">
        <v>886</v>
      </c>
      <c r="F477" s="0" t="s">
        <v>887</v>
      </c>
      <c r="G477" s="0" t="n">
        <v>1</v>
      </c>
      <c r="H477" s="0" t="n">
        <v>1546</v>
      </c>
      <c r="I477" s="0" t="s">
        <v>913</v>
      </c>
      <c r="J477" s="0" t="s">
        <v>36</v>
      </c>
      <c r="K477" s="0" t="s">
        <v>405</v>
      </c>
      <c r="P477" s="0" t="s">
        <v>914</v>
      </c>
      <c r="R477" s="0" t="s">
        <v>202</v>
      </c>
      <c r="S477" s="0" t="s">
        <v>38</v>
      </c>
      <c r="T477" s="0" t="n">
        <v>3</v>
      </c>
      <c r="U477" s="0" t="s">
        <v>63</v>
      </c>
      <c r="Y477" s="0" t="str">
        <f aca="false">HYPERLINK("http://lutemusic.org/facsimiles/BianchiniD/Intabolatura_de_Lauto/v.1_1546/b4v.png")</f>
        <v>http://lutemusic.org/facsimiles/BianchiniD/Intabolatura_de_Lauto/v.1_1546/b4v.png</v>
      </c>
      <c r="Z477" s="0" t="str">
        <f aca="false">HYPERLINK("http://lutemusic.org/composers/Bianchini/12_lodesana.ft3")</f>
        <v>http://lutemusic.org/composers/Bianchini/12_lodesana.ft3</v>
      </c>
      <c r="AA477" s="0" t="str">
        <f aca="false">HYPERLINK("http://lutemusic.org/composers/Bianchini/pdf/12_lodesana.pdf")</f>
        <v>http://lutemusic.org/composers/Bianchini/pdf/12_lodesana.pdf</v>
      </c>
      <c r="AB477" s="0" t="str">
        <f aca="false">HYPERLINK("http://lutemusic.org/composers/Bianchini/midi/12_lodesana.mid")</f>
        <v>http://lutemusic.org/composers/Bianchini/midi/12_lodesana.mid</v>
      </c>
      <c r="AC477" s="0" t="n">
        <v>1573937408</v>
      </c>
      <c r="AD477" s="0" t="n">
        <v>1588612306</v>
      </c>
    </row>
    <row r="478" customFormat="false" ht="12.8" hidden="false" customHeight="false" outlineLevel="0" collapsed="false">
      <c r="A478" s="0" t="s">
        <v>915</v>
      </c>
      <c r="C478" s="0" t="s">
        <v>886</v>
      </c>
      <c r="E478" s="0" t="s">
        <v>886</v>
      </c>
      <c r="F478" s="0" t="s">
        <v>887</v>
      </c>
      <c r="G478" s="0" t="n">
        <v>1</v>
      </c>
      <c r="H478" s="0" t="n">
        <v>1546</v>
      </c>
      <c r="I478" s="0" t="s">
        <v>916</v>
      </c>
      <c r="J478" s="0" t="s">
        <v>36</v>
      </c>
      <c r="K478" s="0" t="s">
        <v>405</v>
      </c>
      <c r="P478" s="0" t="s">
        <v>915</v>
      </c>
      <c r="R478" s="0" t="s">
        <v>202</v>
      </c>
      <c r="S478" s="0" t="s">
        <v>66</v>
      </c>
      <c r="T478" s="0" t="n">
        <v>3</v>
      </c>
      <c r="U478" s="0" t="s">
        <v>63</v>
      </c>
      <c r="Y478" s="0" t="str">
        <f aca="false">HYPERLINK("http://lutemusic.org/facsimiles/BianchiniD/Intabolatura_de_Lauto/v.1_1546/c1.png")</f>
        <v>http://lutemusic.org/facsimiles/BianchiniD/Intabolatura_de_Lauto/v.1_1546/c1.png</v>
      </c>
      <c r="Z478" s="0" t="str">
        <f aca="false">HYPERLINK("http://lutemusic.org/composers/Bianchini/13_meza_notte.ft3")</f>
        <v>http://lutemusic.org/composers/Bianchini/13_meza_notte.ft3</v>
      </c>
      <c r="AA478" s="0" t="str">
        <f aca="false">HYPERLINK("http://lutemusic.org/composers/Bianchini/pdf/13_meza_notte.pdf")</f>
        <v>http://lutemusic.org/composers/Bianchini/pdf/13_meza_notte.pdf</v>
      </c>
      <c r="AB478" s="0" t="str">
        <f aca="false">HYPERLINK("http://lutemusic.org/composers/Bianchini/midi/13_meza_notte.mid")</f>
        <v>http://lutemusic.org/composers/Bianchini/midi/13_meza_notte.mid</v>
      </c>
      <c r="AC478" s="0" t="n">
        <v>1573937408</v>
      </c>
      <c r="AD478" s="0" t="n">
        <v>1588612306</v>
      </c>
    </row>
    <row r="479" customFormat="false" ht="12.8" hidden="false" customHeight="false" outlineLevel="0" collapsed="false">
      <c r="A479" s="0" t="s">
        <v>917</v>
      </c>
      <c r="C479" s="0" t="s">
        <v>886</v>
      </c>
      <c r="E479" s="0" t="s">
        <v>886</v>
      </c>
      <c r="F479" s="0" t="s">
        <v>887</v>
      </c>
      <c r="G479" s="0" t="n">
        <v>1</v>
      </c>
      <c r="H479" s="0" t="n">
        <v>1546</v>
      </c>
      <c r="I479" s="0" t="s">
        <v>918</v>
      </c>
      <c r="J479" s="0" t="s">
        <v>36</v>
      </c>
      <c r="K479" s="0" t="s">
        <v>405</v>
      </c>
      <c r="P479" s="0" t="s">
        <v>917</v>
      </c>
      <c r="R479" s="0" t="s">
        <v>202</v>
      </c>
      <c r="S479" s="0" t="s">
        <v>84</v>
      </c>
      <c r="T479" s="0" t="n">
        <v>3</v>
      </c>
      <c r="U479" s="0" t="s">
        <v>63</v>
      </c>
      <c r="Y479" s="0" t="str">
        <f aca="false">HYPERLINK("http://lutemusic.org/facsimiles/BianchiniD/Intabolatura_de_Lauto/v.1_1546/c1v.png")</f>
        <v>http://lutemusic.org/facsimiles/BianchiniD/Intabolatura_de_Lauto/v.1_1546/c1v.png</v>
      </c>
      <c r="Z479" s="0" t="str">
        <f aca="false">HYPERLINK("http://lutemusic.org/composers/Bianchini/14_la_cara_cossa.ft3")</f>
        <v>http://lutemusic.org/composers/Bianchini/14_la_cara_cossa.ft3</v>
      </c>
      <c r="AA479" s="0" t="str">
        <f aca="false">HYPERLINK("http://lutemusic.org/composers/Bianchini/pdf/14_la_cara_cossa.pdf")</f>
        <v>http://lutemusic.org/composers/Bianchini/pdf/14_la_cara_cossa.pdf</v>
      </c>
      <c r="AB479" s="0" t="str">
        <f aca="false">HYPERLINK("http://lutemusic.org/composers/Bianchini/midi/14_la_cara_cossa.mid")</f>
        <v>http://lutemusic.org/composers/Bianchini/midi/14_la_cara_cossa.mid</v>
      </c>
      <c r="AC479" s="0" t="n">
        <v>1573937408</v>
      </c>
      <c r="AD479" s="0" t="n">
        <v>1588612306</v>
      </c>
    </row>
    <row r="480" customFormat="false" ht="12.8" hidden="false" customHeight="false" outlineLevel="0" collapsed="false">
      <c r="A480" s="0" t="s">
        <v>919</v>
      </c>
      <c r="C480" s="0" t="s">
        <v>886</v>
      </c>
      <c r="E480" s="0" t="s">
        <v>886</v>
      </c>
      <c r="F480" s="0" t="s">
        <v>887</v>
      </c>
      <c r="G480" s="0" t="n">
        <v>1</v>
      </c>
      <c r="H480" s="0" t="n">
        <v>1546</v>
      </c>
      <c r="I480" s="0" t="s">
        <v>920</v>
      </c>
      <c r="J480" s="0" t="s">
        <v>36</v>
      </c>
      <c r="K480" s="0" t="s">
        <v>405</v>
      </c>
      <c r="P480" s="0" t="s">
        <v>919</v>
      </c>
      <c r="R480" s="0" t="s">
        <v>268</v>
      </c>
      <c r="S480" s="0" t="s">
        <v>38</v>
      </c>
      <c r="T480" s="0" t="n">
        <v>2</v>
      </c>
      <c r="U480" s="0" t="s">
        <v>63</v>
      </c>
      <c r="Y480" s="0" t="str">
        <f aca="false">HYPERLINK("http://lutemusic.org/facsimiles/BianchiniD/Intabolatura_de_Lauto/v.1_1546/c2.png")</f>
        <v>http://lutemusic.org/facsimiles/BianchiniD/Intabolatura_de_Lauto/v.1_1546/c2.png</v>
      </c>
      <c r="Z480" s="0" t="str">
        <f aca="false">HYPERLINK("http://lutemusic.org/composers/Bianchini/15_el_burato.ft3")</f>
        <v>http://lutemusic.org/composers/Bianchini/15_el_burato.ft3</v>
      </c>
      <c r="AA480" s="0" t="str">
        <f aca="false">HYPERLINK("http://lutemusic.org/composers/Bianchini/pdf/15_el_burato.pdf")</f>
        <v>http://lutemusic.org/composers/Bianchini/pdf/15_el_burato.pdf</v>
      </c>
      <c r="AB480" s="0" t="str">
        <f aca="false">HYPERLINK("http://lutemusic.org/composers/Bianchini/midi/15_el_burato.mid")</f>
        <v>http://lutemusic.org/composers/Bianchini/midi/15_el_burato.mid</v>
      </c>
      <c r="AC480" s="0" t="n">
        <v>1573937408</v>
      </c>
      <c r="AD480" s="0" t="n">
        <v>1588612306</v>
      </c>
    </row>
    <row r="481" customFormat="false" ht="12.8" hidden="false" customHeight="false" outlineLevel="0" collapsed="false">
      <c r="A481" s="0" t="s">
        <v>921</v>
      </c>
      <c r="C481" s="0" t="s">
        <v>886</v>
      </c>
      <c r="E481" s="0" t="s">
        <v>886</v>
      </c>
      <c r="F481" s="0" t="s">
        <v>887</v>
      </c>
      <c r="G481" s="0" t="n">
        <v>1</v>
      </c>
      <c r="H481" s="0" t="n">
        <v>1546</v>
      </c>
      <c r="I481" s="0" t="s">
        <v>420</v>
      </c>
      <c r="J481" s="0" t="s">
        <v>36</v>
      </c>
      <c r="K481" s="0" t="s">
        <v>405</v>
      </c>
      <c r="P481" s="0" t="s">
        <v>921</v>
      </c>
      <c r="R481" s="0" t="s">
        <v>922</v>
      </c>
      <c r="S481" s="0" t="s">
        <v>119</v>
      </c>
      <c r="T481" s="0" t="n">
        <v>4</v>
      </c>
      <c r="U481" s="0" t="s">
        <v>63</v>
      </c>
      <c r="Y481" s="0" t="str">
        <f aca="false">HYPERLINK("http://lutemusic.org/facsimiles/BianchiniD/Intabolatura_de_Lauto/v.1_1546/c2v.png")</f>
        <v>http://lutemusic.org/facsimiles/BianchiniD/Intabolatura_de_Lauto/v.1_1546/c2v.png</v>
      </c>
      <c r="Z481" s="0" t="str">
        <f aca="false">HYPERLINK("http://lutemusic.org/composers/Bianchini/16_ave_santissima.ft3")</f>
        <v>http://lutemusic.org/composers/Bianchini/16_ave_santissima.ft3</v>
      </c>
      <c r="AA481" s="0" t="str">
        <f aca="false">HYPERLINK("http://lutemusic.org/composers/Bianchini/pdf/16_ave_santissima.pdf")</f>
        <v>http://lutemusic.org/composers/Bianchini/pdf/16_ave_santissima.pdf</v>
      </c>
      <c r="AB481" s="0" t="str">
        <f aca="false">HYPERLINK("http://lutemusic.org/composers/Bianchini/midi/16_ave_santissima.mid")</f>
        <v>http://lutemusic.org/composers/Bianchini/midi/16_ave_santissima.mid</v>
      </c>
      <c r="AC481" s="0" t="n">
        <v>1573937408</v>
      </c>
      <c r="AD481" s="0" t="n">
        <v>1588612306</v>
      </c>
    </row>
    <row r="482" customFormat="false" ht="12.8" hidden="false" customHeight="false" outlineLevel="0" collapsed="false">
      <c r="A482" s="0" t="s">
        <v>923</v>
      </c>
      <c r="C482" s="0" t="s">
        <v>886</v>
      </c>
      <c r="E482" s="0" t="s">
        <v>886</v>
      </c>
      <c r="F482" s="0" t="s">
        <v>887</v>
      </c>
      <c r="G482" s="0" t="n">
        <v>1</v>
      </c>
      <c r="H482" s="0" t="n">
        <v>1546</v>
      </c>
      <c r="I482" s="0" t="s">
        <v>924</v>
      </c>
      <c r="J482" s="0" t="s">
        <v>36</v>
      </c>
      <c r="K482" s="0" t="s">
        <v>405</v>
      </c>
      <c r="P482" s="0" t="s">
        <v>923</v>
      </c>
      <c r="R482" s="0" t="s">
        <v>83</v>
      </c>
      <c r="S482" s="0" t="s">
        <v>38</v>
      </c>
      <c r="T482" s="0" t="n">
        <v>3</v>
      </c>
      <c r="U482" s="0" t="s">
        <v>63</v>
      </c>
      <c r="Y482" s="0" t="str">
        <f aca="false">HYPERLINK("http://lutemusic.org/facsimiles/BianchiniD/Intabolatura_de_Lauto/v.1_1546/d1.png")</f>
        <v>http://lutemusic.org/facsimiles/BianchiniD/Intabolatura_de_Lauto/v.1_1546/d1.png</v>
      </c>
      <c r="Z482" s="0" t="str">
        <f aca="false">HYPERLINK("http://lutemusic.org/composers/Bianchini/17_santo_erculano.ft3")</f>
        <v>http://lutemusic.org/composers/Bianchini/17_santo_erculano.ft3</v>
      </c>
      <c r="AA482" s="0" t="str">
        <f aca="false">HYPERLINK("http://lutemusic.org/composers/Bianchini/pdf/17_santo_erculano.pdf")</f>
        <v>http://lutemusic.org/composers/Bianchini/pdf/17_santo_erculano.pdf</v>
      </c>
      <c r="AB482" s="0" t="str">
        <f aca="false">HYPERLINK("http://lutemusic.org/composers/Bianchini/midi/17_santo_erculano.mid")</f>
        <v>http://lutemusic.org/composers/Bianchini/midi/17_santo_erculano.mid</v>
      </c>
      <c r="AC482" s="0" t="n">
        <v>1573937408</v>
      </c>
      <c r="AD482" s="0" t="n">
        <v>1588612306</v>
      </c>
    </row>
    <row r="483" customFormat="false" ht="12.8" hidden="false" customHeight="false" outlineLevel="0" collapsed="false">
      <c r="A483" s="0" t="s">
        <v>925</v>
      </c>
      <c r="C483" s="0" t="s">
        <v>886</v>
      </c>
      <c r="E483" s="0" t="s">
        <v>886</v>
      </c>
      <c r="F483" s="0" t="s">
        <v>887</v>
      </c>
      <c r="G483" s="0" t="n">
        <v>1</v>
      </c>
      <c r="H483" s="0" t="n">
        <v>1546</v>
      </c>
      <c r="I483" s="0" t="s">
        <v>444</v>
      </c>
      <c r="J483" s="0" t="s">
        <v>36</v>
      </c>
      <c r="K483" s="0" t="s">
        <v>405</v>
      </c>
      <c r="P483" s="0" t="s">
        <v>925</v>
      </c>
      <c r="R483" s="0" t="s">
        <v>83</v>
      </c>
      <c r="S483" s="0" t="s">
        <v>926</v>
      </c>
      <c r="T483" s="0" t="n">
        <v>3</v>
      </c>
      <c r="U483" s="0" t="s">
        <v>63</v>
      </c>
      <c r="Y483" s="0" t="str">
        <f aca="false">HYPERLINK("http://lutemusic.org/facsimiles/BianchiniD/Intabolatura_de_Lauto/v.1_1546/d1v.png")</f>
        <v>http://lutemusic.org/facsimiles/BianchiniD/Intabolatura_de_Lauto/v.1_1546/d1v.png</v>
      </c>
      <c r="Z483" s="0" t="str">
        <f aca="false">HYPERLINK("http://lutemusic.org/composers/Bianchini/18_c_est_grand_pitie.ft3")</f>
        <v>http://lutemusic.org/composers/Bianchini/18_c_est_grand_pitie.ft3</v>
      </c>
      <c r="AA483" s="0" t="str">
        <f aca="false">HYPERLINK("http://lutemusic.org/composers/Bianchini/pdf/18_c_est_grand_pitie.pdf")</f>
        <v>http://lutemusic.org/composers/Bianchini/pdf/18_c_est_grand_pitie.pdf</v>
      </c>
      <c r="AB483" s="0" t="str">
        <f aca="false">HYPERLINK("http://lutemusic.org/composers/Bianchini/midi/18_c_est_grand_pitie.mid")</f>
        <v>http://lutemusic.org/composers/Bianchini/midi/18_c_est_grand_pitie.mid</v>
      </c>
      <c r="AC483" s="0" t="n">
        <v>1573937408</v>
      </c>
      <c r="AD483" s="0" t="n">
        <v>1588612306</v>
      </c>
    </row>
    <row r="484" customFormat="false" ht="12.8" hidden="false" customHeight="false" outlineLevel="0" collapsed="false">
      <c r="A484" s="0" t="s">
        <v>927</v>
      </c>
      <c r="C484" s="0" t="s">
        <v>886</v>
      </c>
      <c r="E484" s="0" t="s">
        <v>886</v>
      </c>
      <c r="F484" s="0" t="s">
        <v>887</v>
      </c>
      <c r="G484" s="0" t="n">
        <v>1</v>
      </c>
      <c r="H484" s="0" t="n">
        <v>1546</v>
      </c>
      <c r="I484" s="0" t="s">
        <v>928</v>
      </c>
      <c r="J484" s="0" t="s">
        <v>36</v>
      </c>
      <c r="K484" s="0" t="s">
        <v>405</v>
      </c>
      <c r="P484" s="0" t="s">
        <v>927</v>
      </c>
      <c r="R484" s="0" t="s">
        <v>382</v>
      </c>
      <c r="S484" s="0" t="s">
        <v>480</v>
      </c>
      <c r="T484" s="0" t="n">
        <v>3</v>
      </c>
      <c r="U484" s="0" t="s">
        <v>63</v>
      </c>
      <c r="Y484" s="0" t="str">
        <f aca="false">HYPERLINK("http://lutemusic.org/facsimiles/BianchiniD/Intabolatura_de_Lauto/v.1_1546/d2.png")</f>
        <v>http://lutemusic.org/facsimiles/BianchiniD/Intabolatura_de_Lauto/v.1_1546/d2.png</v>
      </c>
      <c r="Z484" s="0" t="str">
        <f aca="false">HYPERLINK("http://lutemusic.org/composers/Bianchini/19_ricercar_04.ft3")</f>
        <v>http://lutemusic.org/composers/Bianchini/19_ricercar_04.ft3</v>
      </c>
      <c r="AA484" s="0" t="str">
        <f aca="false">HYPERLINK("http://lutemusic.org/composers/Bianchini/pdf/19_ricercar_04.pdf")</f>
        <v>http://lutemusic.org/composers/Bianchini/pdf/19_ricercar_04.pdf</v>
      </c>
      <c r="AB484" s="0" t="str">
        <f aca="false">HYPERLINK("http://lutemusic.org/composers/Bianchini/midi/19_ricercar_04.mid")</f>
        <v>http://lutemusic.org/composers/Bianchini/midi/19_ricercar_04.mid</v>
      </c>
      <c r="AC484" s="0" t="n">
        <v>1573937408</v>
      </c>
      <c r="AD484" s="0" t="n">
        <v>1588612306</v>
      </c>
    </row>
    <row r="485" customFormat="false" ht="12.8" hidden="false" customHeight="false" outlineLevel="0" collapsed="false">
      <c r="A485" s="0" t="s">
        <v>929</v>
      </c>
      <c r="C485" s="0" t="s">
        <v>886</v>
      </c>
      <c r="E485" s="0" t="s">
        <v>886</v>
      </c>
      <c r="F485" s="0" t="s">
        <v>887</v>
      </c>
      <c r="G485" s="0" t="n">
        <v>1</v>
      </c>
      <c r="H485" s="0" t="n">
        <v>1546</v>
      </c>
      <c r="I485" s="0" t="s">
        <v>791</v>
      </c>
      <c r="J485" s="0" t="s">
        <v>36</v>
      </c>
      <c r="K485" s="0" t="s">
        <v>405</v>
      </c>
      <c r="P485" s="0" t="s">
        <v>929</v>
      </c>
      <c r="R485" s="0" t="s">
        <v>83</v>
      </c>
      <c r="S485" s="0" t="s">
        <v>119</v>
      </c>
      <c r="T485" s="0" t="n">
        <v>3</v>
      </c>
      <c r="U485" s="0" t="s">
        <v>63</v>
      </c>
      <c r="Y485" s="0" t="str">
        <f aca="false">HYPERLINK("http://lutemusic.org/facsimiles/BianchiniD/Intabolatura_de_Lauto/v.1_1546/d2v.png")</f>
        <v>http://lutemusic.org/facsimiles/BianchiniD/Intabolatura_de_Lauto/v.1_1546/d2v.png</v>
      </c>
      <c r="Z485" s="0" t="str">
        <f aca="false">HYPERLINK("http://lutemusic.org/composers/Bianchini/20_il_me_suffit.ft3")</f>
        <v>http://lutemusic.org/composers/Bianchini/20_il_me_suffit.ft3</v>
      </c>
      <c r="AA485" s="0" t="str">
        <f aca="false">HYPERLINK("http://lutemusic.org/composers/Bianchini/pdf/20_il_me_suffit.pdf")</f>
        <v>http://lutemusic.org/composers/Bianchini/pdf/20_il_me_suffit.pdf</v>
      </c>
      <c r="AB485" s="0" t="str">
        <f aca="false">HYPERLINK("http://lutemusic.org/composers/Bianchini/midi/20_il_me_suffit.mid")</f>
        <v>http://lutemusic.org/composers/Bianchini/midi/20_il_me_suffit.mid</v>
      </c>
      <c r="AC485" s="0" t="n">
        <v>1573937408</v>
      </c>
      <c r="AD485" s="0" t="n">
        <v>1588612306</v>
      </c>
    </row>
    <row r="486" customFormat="false" ht="12.8" hidden="false" customHeight="false" outlineLevel="0" collapsed="false">
      <c r="A486" s="0" t="s">
        <v>930</v>
      </c>
      <c r="C486" s="0" t="s">
        <v>886</v>
      </c>
      <c r="E486" s="0" t="s">
        <v>886</v>
      </c>
      <c r="F486" s="0" t="s">
        <v>887</v>
      </c>
      <c r="G486" s="0" t="n">
        <v>1</v>
      </c>
      <c r="H486" s="0" t="n">
        <v>1546</v>
      </c>
      <c r="I486" s="0" t="s">
        <v>931</v>
      </c>
      <c r="J486" s="0" t="s">
        <v>36</v>
      </c>
      <c r="K486" s="0" t="s">
        <v>405</v>
      </c>
      <c r="P486" s="0" t="s">
        <v>930</v>
      </c>
      <c r="R486" s="0" t="s">
        <v>83</v>
      </c>
      <c r="S486" s="0" t="s">
        <v>119</v>
      </c>
      <c r="T486" s="0" t="n">
        <v>3</v>
      </c>
      <c r="U486" s="0" t="s">
        <v>63</v>
      </c>
      <c r="Y486" s="0" t="str">
        <f aca="false">HYPERLINK("http://lutemusic.org/facsimiles/BianchiniD/Intabolatura_de_Lauto/v.1_1546/d3.png")</f>
        <v>http://lutemusic.org/facsimiles/BianchiniD/Intabolatura_de_Lauto/v.1_1546/d3.png</v>
      </c>
      <c r="Z486" s="0" t="str">
        <f aca="false">HYPERLINK("http://lutemusic.org/composers/Bianchini/21_par_ton_regard.ft3")</f>
        <v>http://lutemusic.org/composers/Bianchini/21_par_ton_regard.ft3</v>
      </c>
      <c r="AA486" s="0" t="str">
        <f aca="false">HYPERLINK("http://lutemusic.org/composers/Bianchini/pdf/21_par_ton_regard.pdf")</f>
        <v>http://lutemusic.org/composers/Bianchini/pdf/21_par_ton_regard.pdf</v>
      </c>
      <c r="AB486" s="0" t="str">
        <f aca="false">HYPERLINK("http://lutemusic.org/composers/Bianchini/midi/21_par_ton_regard.mid")</f>
        <v>http://lutemusic.org/composers/Bianchini/midi/21_par_ton_regard.mid</v>
      </c>
      <c r="AC486" s="0" t="n">
        <v>1573937408</v>
      </c>
      <c r="AD486" s="0" t="n">
        <v>1588612306</v>
      </c>
    </row>
    <row r="487" customFormat="false" ht="12.8" hidden="false" customHeight="false" outlineLevel="0" collapsed="false">
      <c r="A487" s="0" t="s">
        <v>932</v>
      </c>
      <c r="C487" s="0" t="s">
        <v>886</v>
      </c>
      <c r="E487" s="0" t="s">
        <v>886</v>
      </c>
      <c r="F487" s="0" t="s">
        <v>887</v>
      </c>
      <c r="G487" s="0" t="n">
        <v>1</v>
      </c>
      <c r="H487" s="0" t="n">
        <v>1546</v>
      </c>
      <c r="I487" s="0" t="s">
        <v>933</v>
      </c>
      <c r="J487" s="0" t="s">
        <v>36</v>
      </c>
      <c r="K487" s="0" t="s">
        <v>405</v>
      </c>
      <c r="P487" s="0" t="s">
        <v>932</v>
      </c>
      <c r="R487" s="0" t="s">
        <v>83</v>
      </c>
      <c r="S487" s="0" t="s">
        <v>49</v>
      </c>
      <c r="T487" s="0" t="n">
        <v>3</v>
      </c>
      <c r="U487" s="0" t="s">
        <v>63</v>
      </c>
      <c r="Y487" s="0" t="str">
        <f aca="false">HYPERLINK("http://lutemusic.org/facsimiles/BianchiniD/Intabolatura_de_Lauto/v.1_1546/d3v.png")</f>
        <v>http://lutemusic.org/facsimiles/BianchiniD/Intabolatura_de_Lauto/v.1_1546/d3v.png</v>
      </c>
      <c r="Z487" s="0" t="str">
        <f aca="false">HYPERLINK("http://lutemusic.org/composers/Bianchini/22_le_dur_travail.ft3")</f>
        <v>http://lutemusic.org/composers/Bianchini/22_le_dur_travail.ft3</v>
      </c>
      <c r="AA487" s="0" t="str">
        <f aca="false">HYPERLINK("http://lutemusic.org/composers/Bianchini/pdf/22_le_dur_travail.pdf")</f>
        <v>http://lutemusic.org/composers/Bianchini/pdf/22_le_dur_travail.pdf</v>
      </c>
      <c r="AB487" s="0" t="str">
        <f aca="false">HYPERLINK("http://lutemusic.org/composers/Bianchini/midi/22_le_dur_travail.mid")</f>
        <v>http://lutemusic.org/composers/Bianchini/midi/22_le_dur_travail.mid</v>
      </c>
      <c r="AC487" s="0" t="n">
        <v>1573937408</v>
      </c>
      <c r="AD487" s="0" t="n">
        <v>1588612306</v>
      </c>
    </row>
    <row r="488" customFormat="false" ht="12.8" hidden="false" customHeight="false" outlineLevel="0" collapsed="false">
      <c r="A488" s="0" t="s">
        <v>934</v>
      </c>
      <c r="C488" s="0" t="s">
        <v>886</v>
      </c>
      <c r="E488" s="0" t="s">
        <v>886</v>
      </c>
      <c r="F488" s="0" t="s">
        <v>887</v>
      </c>
      <c r="G488" s="0" t="n">
        <v>1</v>
      </c>
      <c r="H488" s="0" t="n">
        <v>1546</v>
      </c>
      <c r="I488" s="0" t="s">
        <v>935</v>
      </c>
      <c r="J488" s="0" t="s">
        <v>36</v>
      </c>
      <c r="K488" s="0" t="s">
        <v>405</v>
      </c>
      <c r="P488" s="0" t="s">
        <v>934</v>
      </c>
      <c r="R488" s="0" t="s">
        <v>382</v>
      </c>
      <c r="S488" s="0" t="s">
        <v>62</v>
      </c>
      <c r="T488" s="0" t="n">
        <v>3</v>
      </c>
      <c r="U488" s="0" t="s">
        <v>63</v>
      </c>
      <c r="Y488" s="0" t="str">
        <f aca="false">HYPERLINK("http://lutemusic.org/facsimiles/BianchiniD/Intabolatura_de_Lauto/v.1_1546/d4v.png")</f>
        <v>http://lutemusic.org/facsimiles/BianchiniD/Intabolatura_de_Lauto/v.1_1546/d4v.png</v>
      </c>
      <c r="Z488" s="0" t="str">
        <f aca="false">HYPERLINK("http://lutemusic.org/composers/Bianchini/23_ricercar_05.ft3")</f>
        <v>http://lutemusic.org/composers/Bianchini/23_ricercar_05.ft3</v>
      </c>
      <c r="AA488" s="0" t="str">
        <f aca="false">HYPERLINK("http://lutemusic.org/composers/Bianchini/pdf/23_ricercar_05.pdf")</f>
        <v>http://lutemusic.org/composers/Bianchini/pdf/23_ricercar_05.pdf</v>
      </c>
      <c r="AB488" s="0" t="str">
        <f aca="false">HYPERLINK("http://lutemusic.org/composers/Bianchini/midi/23_ricercar_05.mid")</f>
        <v>http://lutemusic.org/composers/Bianchini/midi/23_ricercar_05.mid</v>
      </c>
      <c r="AC488" s="0" t="n">
        <v>1573937408</v>
      </c>
      <c r="AD488" s="0" t="n">
        <v>1588612306</v>
      </c>
    </row>
    <row r="489" customFormat="false" ht="12.8" hidden="false" customHeight="false" outlineLevel="0" collapsed="false">
      <c r="A489" s="0" t="s">
        <v>936</v>
      </c>
      <c r="B489" s="0" t="s">
        <v>937</v>
      </c>
      <c r="C489" s="0" t="s">
        <v>886</v>
      </c>
      <c r="E489" s="0" t="s">
        <v>886</v>
      </c>
      <c r="F489" s="0" t="s">
        <v>887</v>
      </c>
      <c r="G489" s="0" t="n">
        <v>1</v>
      </c>
      <c r="H489" s="0" t="n">
        <v>1546</v>
      </c>
      <c r="I489" s="0" t="s">
        <v>938</v>
      </c>
      <c r="J489" s="0" t="s">
        <v>36</v>
      </c>
      <c r="K489" s="0" t="s">
        <v>405</v>
      </c>
      <c r="P489" s="0" t="s">
        <v>936</v>
      </c>
      <c r="R489" s="0" t="s">
        <v>268</v>
      </c>
      <c r="S489" s="0" t="s">
        <v>38</v>
      </c>
      <c r="T489" s="0" t="n">
        <v>3</v>
      </c>
      <c r="U489" s="0" t="s">
        <v>63</v>
      </c>
      <c r="Y489" s="0" t="str">
        <f aca="false">HYPERLINK("http://lutemusic.org/facsimiles/BianchiniD/Intabolatura_de_Lauto/v.1_1546/e1.png")</f>
        <v>http://lutemusic.org/facsimiles/BianchiniD/Intabolatura_de_Lauto/v.1_1546/e1.png</v>
      </c>
      <c r="Z489" s="0" t="str">
        <f aca="false">HYPERLINK("http://lutemusic.org/composers/Bianchini/24_torza.ft3")</f>
        <v>http://lutemusic.org/composers/Bianchini/24_torza.ft3</v>
      </c>
      <c r="AA489" s="0" t="str">
        <f aca="false">HYPERLINK("http://lutemusic.org/composers/Bianchini/pdf/24_torza.pdf")</f>
        <v>http://lutemusic.org/composers/Bianchini/pdf/24_torza.pdf</v>
      </c>
      <c r="AB489" s="0" t="str">
        <f aca="false">HYPERLINK("http://lutemusic.org/composers/Bianchini/midi/24_torza.mid")</f>
        <v>http://lutemusic.org/composers/Bianchini/midi/24_torza.mid</v>
      </c>
      <c r="AC489" s="0" t="n">
        <v>1573937408</v>
      </c>
      <c r="AD489" s="0" t="n">
        <v>1588612306</v>
      </c>
    </row>
    <row r="490" customFormat="false" ht="12.8" hidden="false" customHeight="false" outlineLevel="0" collapsed="false">
      <c r="A490" s="0" t="s">
        <v>939</v>
      </c>
      <c r="C490" s="0" t="s">
        <v>886</v>
      </c>
      <c r="E490" s="0" t="s">
        <v>886</v>
      </c>
      <c r="F490" s="0" t="s">
        <v>887</v>
      </c>
      <c r="G490" s="0" t="n">
        <v>1</v>
      </c>
      <c r="H490" s="0" t="n">
        <v>1546</v>
      </c>
      <c r="I490" s="0" t="s">
        <v>940</v>
      </c>
      <c r="J490" s="0" t="s">
        <v>36</v>
      </c>
      <c r="K490" s="0" t="s">
        <v>405</v>
      </c>
      <c r="P490" s="0" t="s">
        <v>939</v>
      </c>
      <c r="R490" s="0" t="s">
        <v>83</v>
      </c>
      <c r="S490" s="0" t="s">
        <v>152</v>
      </c>
      <c r="T490" s="0" t="n">
        <v>3</v>
      </c>
      <c r="U490" s="0" t="s">
        <v>63</v>
      </c>
      <c r="Y490" s="0" t="str">
        <f aca="false">HYPERLINK("http://lutemusic.org/facsimiles/BianchiniD/Intabolatura_de_Lauto/v.1_1546/e1v.png")</f>
        <v>http://lutemusic.org/facsimiles/BianchiniD/Intabolatura_de_Lauto/v.1_1546/e1v.png</v>
      </c>
      <c r="Z490" s="0" t="str">
        <f aca="false">HYPERLINK("http://lutemusic.org/composers/Bianchini/25_o_s_io_potessi_donna.ft3")</f>
        <v>http://lutemusic.org/composers/Bianchini/25_o_s_io_potessi_donna.ft3</v>
      </c>
      <c r="AA490" s="0" t="str">
        <f aca="false">HYPERLINK("http://lutemusic.org/composers/Bianchini/pdf/25_o_s_io_potessi_donna.pdf")</f>
        <v>http://lutemusic.org/composers/Bianchini/pdf/25_o_s_io_potessi_donna.pdf</v>
      </c>
      <c r="AB490" s="0" t="str">
        <f aca="false">HYPERLINK("http://lutemusic.org/composers/Bianchini/midi/25_o_s_io_potessi_donna.mid")</f>
        <v>http://lutemusic.org/composers/Bianchini/midi/25_o_s_io_potessi_donna.mid</v>
      </c>
      <c r="AC490" s="0" t="n">
        <v>1573937408</v>
      </c>
      <c r="AD490" s="0" t="n">
        <v>1588612306</v>
      </c>
    </row>
    <row r="491" customFormat="false" ht="12.8" hidden="false" customHeight="false" outlineLevel="0" collapsed="false">
      <c r="A491" s="0" t="s">
        <v>941</v>
      </c>
      <c r="C491" s="0" t="s">
        <v>886</v>
      </c>
      <c r="E491" s="0" t="s">
        <v>886</v>
      </c>
      <c r="F491" s="0" t="s">
        <v>887</v>
      </c>
      <c r="G491" s="0" t="n">
        <v>1</v>
      </c>
      <c r="H491" s="0" t="n">
        <v>1546</v>
      </c>
      <c r="I491" s="0" t="s">
        <v>942</v>
      </c>
      <c r="J491" s="0" t="s">
        <v>36</v>
      </c>
      <c r="K491" s="0" t="s">
        <v>405</v>
      </c>
      <c r="P491" s="0" t="s">
        <v>941</v>
      </c>
      <c r="R491" s="0" t="s">
        <v>83</v>
      </c>
      <c r="S491" s="0" t="s">
        <v>49</v>
      </c>
      <c r="T491" s="0" t="n">
        <v>2</v>
      </c>
      <c r="U491" s="0" t="s">
        <v>63</v>
      </c>
      <c r="Y491" s="0" t="str">
        <f aca="false">HYPERLINK("http://lutemusic.org/facsimiles/BianchiniD/Intabolatura_de_Lauto/v.1_1546/e2v.png")</f>
        <v>http://lutemusic.org/facsimiles/BianchiniD/Intabolatura_de_Lauto/v.1_1546/e2v.png</v>
      </c>
      <c r="Z491" s="0" t="str">
        <f aca="false">HYPERLINK("http://lutemusic.org/composers/Bianchini/26_tant_que_vivrai.ft3")</f>
        <v>http://lutemusic.org/composers/Bianchini/26_tant_que_vivrai.ft3</v>
      </c>
      <c r="AA491" s="0" t="str">
        <f aca="false">HYPERLINK("http://lutemusic.org/composers/Bianchini/pdf/26_tant_que_vivrai.pdf")</f>
        <v>http://lutemusic.org/composers/Bianchini/pdf/26_tant_que_vivrai.pdf</v>
      </c>
      <c r="AB491" s="0" t="str">
        <f aca="false">HYPERLINK("http://lutemusic.org/composers/Bianchini/midi/26_tant_que_vivrai.mid")</f>
        <v>http://lutemusic.org/composers/Bianchini/midi/26_tant_que_vivrai.mid</v>
      </c>
      <c r="AC491" s="0" t="n">
        <v>1573937408</v>
      </c>
      <c r="AD491" s="0" t="n">
        <v>1588612306</v>
      </c>
    </row>
    <row r="492" customFormat="false" ht="12.8" hidden="false" customHeight="false" outlineLevel="0" collapsed="false">
      <c r="A492" s="0" t="s">
        <v>943</v>
      </c>
      <c r="C492" s="0" t="s">
        <v>886</v>
      </c>
      <c r="E492" s="0" t="s">
        <v>886</v>
      </c>
      <c r="F492" s="0" t="s">
        <v>887</v>
      </c>
      <c r="G492" s="0" t="n">
        <v>1</v>
      </c>
      <c r="H492" s="0" t="n">
        <v>1546</v>
      </c>
      <c r="I492" s="0" t="s">
        <v>944</v>
      </c>
      <c r="J492" s="0" t="s">
        <v>36</v>
      </c>
      <c r="K492" s="0" t="s">
        <v>405</v>
      </c>
      <c r="P492" s="0" t="s">
        <v>943</v>
      </c>
      <c r="R492" s="0" t="s">
        <v>83</v>
      </c>
      <c r="S492" s="0" t="s">
        <v>62</v>
      </c>
      <c r="T492" s="0" t="n">
        <v>3</v>
      </c>
      <c r="U492" s="0" t="s">
        <v>63</v>
      </c>
      <c r="Y492" s="0" t="str">
        <f aca="false">HYPERLINK("http://lutemusic.org/facsimiles/BianchiniD/Intabolatura_de_Lauto/v.1_1546/e3v.png")</f>
        <v>http://lutemusic.org/facsimiles/BianchiniD/Intabolatura_de_Lauto/v.1_1546/e3v.png</v>
      </c>
      <c r="Z492" s="0" t="str">
        <f aca="false">HYPERLINK("http://lutemusic.org/composers/Bianchini/27_pongente_dardo.ft3")</f>
        <v>http://lutemusic.org/composers/Bianchini/27_pongente_dardo.ft3</v>
      </c>
      <c r="AA492" s="0" t="str">
        <f aca="false">HYPERLINK("http://lutemusic.org/composers/Bianchini/pdf/27_pongente_dardo.pdf")</f>
        <v>http://lutemusic.org/composers/Bianchini/pdf/27_pongente_dardo.pdf</v>
      </c>
      <c r="AB492" s="0" t="str">
        <f aca="false">HYPERLINK("http://lutemusic.org/composers/Bianchini/midi/27_pongente_dardo.mid")</f>
        <v>http://lutemusic.org/composers/Bianchini/midi/27_pongente_dardo.mid</v>
      </c>
      <c r="AC492" s="0" t="n">
        <v>1573937408</v>
      </c>
      <c r="AD492" s="0" t="n">
        <v>1588612306</v>
      </c>
    </row>
    <row r="493" customFormat="false" ht="12.8" hidden="false" customHeight="false" outlineLevel="0" collapsed="false">
      <c r="A493" s="0" t="s">
        <v>945</v>
      </c>
      <c r="C493" s="0" t="s">
        <v>946</v>
      </c>
      <c r="E493" s="0" t="s">
        <v>428</v>
      </c>
      <c r="F493" s="0" t="s">
        <v>431</v>
      </c>
      <c r="H493" s="0" t="n">
        <v>1436</v>
      </c>
      <c r="I493" s="0" t="s">
        <v>947</v>
      </c>
      <c r="J493" s="0" t="s">
        <v>36</v>
      </c>
      <c r="K493" s="0" t="s">
        <v>432</v>
      </c>
      <c r="L493" s="0" t="s">
        <v>432</v>
      </c>
      <c r="P493" s="0" t="s">
        <v>945</v>
      </c>
      <c r="R493" s="0" t="s">
        <v>83</v>
      </c>
      <c r="S493" s="0" t="s">
        <v>62</v>
      </c>
      <c r="T493" s="0" t="n">
        <v>2</v>
      </c>
      <c r="U493" s="0" t="s">
        <v>523</v>
      </c>
      <c r="Z493" s="0" t="str">
        <f aca="false">HYPERLINK("http://lutemusic.org/composers/Binchois/jamais_tant.ft3")</f>
        <v>http://lutemusic.org/composers/Binchois/jamais_tant.ft3</v>
      </c>
      <c r="AA493" s="0" t="str">
        <f aca="false">HYPERLINK("http://lutemusic.org/composers/Binchois/pdf/jamais_tant.pdf")</f>
        <v>http://lutemusic.org/composers/Binchois/pdf/jamais_tant.pdf</v>
      </c>
      <c r="AB493" s="0" t="str">
        <f aca="false">HYPERLINK("http://lutemusic.org/composers/Binchois/midi/jamais_tant.mid")</f>
        <v>http://lutemusic.org/composers/Binchois/midi/jamais_tant.mid</v>
      </c>
      <c r="AC493" s="0" t="n">
        <v>1573937408</v>
      </c>
      <c r="AD493" s="0" t="n">
        <v>1586042063</v>
      </c>
    </row>
    <row r="494" customFormat="false" ht="12.8" hidden="false" customHeight="false" outlineLevel="0" collapsed="false">
      <c r="A494" s="0" t="s">
        <v>948</v>
      </c>
      <c r="C494" s="0" t="s">
        <v>946</v>
      </c>
      <c r="E494" s="0" t="s">
        <v>428</v>
      </c>
      <c r="F494" s="0" t="s">
        <v>431</v>
      </c>
      <c r="H494" s="0" t="n">
        <v>1436</v>
      </c>
      <c r="I494" s="0" t="s">
        <v>949</v>
      </c>
      <c r="J494" s="0" t="s">
        <v>36</v>
      </c>
      <c r="K494" s="0" t="s">
        <v>432</v>
      </c>
      <c r="L494" s="0" t="s">
        <v>432</v>
      </c>
      <c r="P494" s="0" t="s">
        <v>948</v>
      </c>
      <c r="R494" s="0" t="s">
        <v>83</v>
      </c>
      <c r="S494" s="0" t="s">
        <v>62</v>
      </c>
      <c r="T494" s="0" t="n">
        <v>2</v>
      </c>
      <c r="U494" s="0" t="s">
        <v>523</v>
      </c>
      <c r="Z494" s="0" t="str">
        <f aca="false">HYPERLINK("http://lutemusic.org/composers/Binchois/les_tres_doulx_jeux.ft3")</f>
        <v>http://lutemusic.org/composers/Binchois/les_tres_doulx_jeux.ft3</v>
      </c>
      <c r="AA494" s="0" t="str">
        <f aca="false">HYPERLINK("http://lutemusic.org/composers/Binchois/pdf/les_tres_doulx_jeux.pdf")</f>
        <v>http://lutemusic.org/composers/Binchois/pdf/les_tres_doulx_jeux.pdf</v>
      </c>
      <c r="AB494" s="0" t="str">
        <f aca="false">HYPERLINK("http://lutemusic.org/composers/Binchois/midi/les_tres_doulx_jeux.mid")</f>
        <v>http://lutemusic.org/composers/Binchois/midi/les_tres_doulx_jeux.mid</v>
      </c>
      <c r="AC494" s="0" t="n">
        <v>1573937408</v>
      </c>
      <c r="AD494" s="0" t="n">
        <v>1586042063</v>
      </c>
    </row>
    <row r="495" customFormat="false" ht="12.8" hidden="false" customHeight="false" outlineLevel="0" collapsed="false">
      <c r="A495" s="0" t="s">
        <v>950</v>
      </c>
      <c r="C495" s="0" t="s">
        <v>946</v>
      </c>
      <c r="E495" s="0" t="s">
        <v>951</v>
      </c>
      <c r="F495" s="0" t="s">
        <v>952</v>
      </c>
      <c r="H495" s="0" t="n">
        <v>1454</v>
      </c>
      <c r="I495" s="0" t="s">
        <v>953</v>
      </c>
      <c r="J495" s="0" t="s">
        <v>36</v>
      </c>
      <c r="K495" s="0" t="s">
        <v>36</v>
      </c>
      <c r="R495" s="0" t="s">
        <v>51</v>
      </c>
      <c r="S495" s="0" t="s">
        <v>62</v>
      </c>
      <c r="T495" s="0" t="n">
        <v>3</v>
      </c>
      <c r="U495" s="0" t="s">
        <v>63</v>
      </c>
      <c r="Z495" s="0" t="str">
        <f aca="false">HYPERLINK("http://lutemusic.org/composers/Binchois/songs/adieu_ma_tres_belle_maistresse_song.ft3")</f>
        <v>http://lutemusic.org/composers/Binchois/songs/adieu_ma_tres_belle_maistresse_song.ft3</v>
      </c>
      <c r="AA495" s="0" t="str">
        <f aca="false">HYPERLINK("http://lutemusic.org/composers/Binchois/songs/pdf/adieu_ma_tres_belle_maistresse_song.pdf")</f>
        <v>http://lutemusic.org/composers/Binchois/songs/pdf/adieu_ma_tres_belle_maistresse_song.pdf</v>
      </c>
      <c r="AB495" s="0" t="str">
        <f aca="false">HYPERLINK("http://lutemusic.org/composers/Binchois/songs/midi/adieu_ma_tres_belle_maistresse_song.mid")</f>
        <v>http://lutemusic.org/composers/Binchois/songs/midi/adieu_ma_tres_belle_maistresse_song.mid</v>
      </c>
      <c r="AC495" s="0" t="n">
        <v>1573937408</v>
      </c>
      <c r="AD495" s="0" t="n">
        <v>1586042063</v>
      </c>
    </row>
    <row r="496" customFormat="false" ht="12.8" hidden="false" customHeight="false" outlineLevel="0" collapsed="false">
      <c r="A496" s="0" t="s">
        <v>954</v>
      </c>
      <c r="C496" s="0" t="s">
        <v>946</v>
      </c>
      <c r="E496" s="0" t="s">
        <v>208</v>
      </c>
      <c r="F496" s="0" t="s">
        <v>955</v>
      </c>
      <c r="H496" s="0" t="n">
        <v>1477</v>
      </c>
      <c r="I496" s="0" t="s">
        <v>35</v>
      </c>
      <c r="J496" s="0" t="s">
        <v>36</v>
      </c>
      <c r="K496" s="0" t="s">
        <v>432</v>
      </c>
      <c r="L496" s="0" t="s">
        <v>432</v>
      </c>
      <c r="P496" s="0" t="s">
        <v>954</v>
      </c>
      <c r="R496" s="0" t="s">
        <v>51</v>
      </c>
      <c r="S496" s="0" t="s">
        <v>38</v>
      </c>
      <c r="T496" s="0" t="n">
        <v>2</v>
      </c>
      <c r="U496" s="0" t="s">
        <v>956</v>
      </c>
      <c r="V496" s="0" t="s">
        <v>40</v>
      </c>
      <c r="Z496" s="0" t="str">
        <f aca="false">HYPERLINK("http://lutemusic.org/composers/Binchois/songs/comme_femme.ft3")</f>
        <v>http://lutemusic.org/composers/Binchois/songs/comme_femme.ft3</v>
      </c>
      <c r="AA496" s="0" t="str">
        <f aca="false">HYPERLINK("http://lutemusic.org/composers/Binchois/songs/pdf/comme_femme.pdf")</f>
        <v>http://lutemusic.org/composers/Binchois/songs/pdf/comme_femme.pdf</v>
      </c>
      <c r="AB496" s="0" t="str">
        <f aca="false">HYPERLINK("http://lutemusic.org/composers/Binchois/songs/midi/comme_femme.mid")</f>
        <v>http://lutemusic.org/composers/Binchois/songs/midi/comme_femme.mid</v>
      </c>
      <c r="AC496" s="0" t="n">
        <v>1573937408</v>
      </c>
      <c r="AD496" s="0" t="n">
        <v>1586042063</v>
      </c>
    </row>
    <row r="497" customFormat="false" ht="12.8" hidden="false" customHeight="false" outlineLevel="0" collapsed="false">
      <c r="A497" s="0" t="s">
        <v>957</v>
      </c>
      <c r="C497" s="0" t="s">
        <v>946</v>
      </c>
      <c r="E497" s="0" t="s">
        <v>364</v>
      </c>
      <c r="F497" s="0" t="s">
        <v>958</v>
      </c>
      <c r="H497" s="0" t="n">
        <v>1440</v>
      </c>
      <c r="I497" s="0" t="s">
        <v>35</v>
      </c>
      <c r="J497" s="0" t="s">
        <v>36</v>
      </c>
      <c r="K497" s="0" t="s">
        <v>432</v>
      </c>
      <c r="L497" s="0" t="s">
        <v>432</v>
      </c>
      <c r="P497" s="0" t="s">
        <v>957</v>
      </c>
      <c r="R497" s="0" t="s">
        <v>51</v>
      </c>
      <c r="S497" s="0" t="s">
        <v>480</v>
      </c>
      <c r="T497" s="0" t="n">
        <v>2</v>
      </c>
      <c r="U497" s="0" t="s">
        <v>959</v>
      </c>
      <c r="V497" s="0" t="s">
        <v>40</v>
      </c>
      <c r="Z497" s="0" t="str">
        <f aca="false">HYPERLINK("http://lutemusic.org/composers/Binchois/songs/ma_dame_que_j_ayme.ft3")</f>
        <v>http://lutemusic.org/composers/Binchois/songs/ma_dame_que_j_ayme.ft3</v>
      </c>
      <c r="AA497" s="0" t="str">
        <f aca="false">HYPERLINK("http://lutemusic.org/composers/Binchois/songs/pdf/ma_dame_que_j_ayme.pdf")</f>
        <v>http://lutemusic.org/composers/Binchois/songs/pdf/ma_dame_que_j_ayme.pdf</v>
      </c>
      <c r="AB497" s="0" t="str">
        <f aca="false">HYPERLINK("http://lutemusic.org/composers/Binchois/songs/midi/ma_dame_que_j_ayme.mid")</f>
        <v>http://lutemusic.org/composers/Binchois/songs/midi/ma_dame_que_j_ayme.mid</v>
      </c>
      <c r="AC497" s="0" t="n">
        <v>1573937408</v>
      </c>
      <c r="AD497" s="0" t="n">
        <v>1586042063</v>
      </c>
    </row>
    <row r="498" customFormat="false" ht="12.8" hidden="false" customHeight="false" outlineLevel="0" collapsed="false">
      <c r="A498" s="0" t="s">
        <v>960</v>
      </c>
      <c r="C498" s="0" t="s">
        <v>946</v>
      </c>
      <c r="E498" s="0" t="s">
        <v>961</v>
      </c>
      <c r="F498" s="0" t="s">
        <v>962</v>
      </c>
      <c r="H498" s="0" t="n">
        <v>1440</v>
      </c>
      <c r="I498" s="0" t="s">
        <v>265</v>
      </c>
      <c r="J498" s="0" t="s">
        <v>36</v>
      </c>
      <c r="K498" s="0" t="s">
        <v>432</v>
      </c>
      <c r="L498" s="0" t="s">
        <v>432</v>
      </c>
      <c r="P498" s="0" t="s">
        <v>960</v>
      </c>
      <c r="R498" s="0" t="s">
        <v>51</v>
      </c>
      <c r="S498" s="0" t="s">
        <v>49</v>
      </c>
      <c r="T498" s="0" t="n">
        <v>2</v>
      </c>
      <c r="U498" s="0" t="s">
        <v>959</v>
      </c>
      <c r="V498" s="0" t="s">
        <v>40</v>
      </c>
      <c r="Z498" s="0" t="str">
        <f aca="false">HYPERLINK("http://lutemusic.org/composers/Binchois/songs/pour_prison.ft3")</f>
        <v>http://lutemusic.org/composers/Binchois/songs/pour_prison.ft3</v>
      </c>
      <c r="AA498" s="0" t="str">
        <f aca="false">HYPERLINK("http://lutemusic.org/composers/Binchois/songs/pdf/pour_prison.pdf")</f>
        <v>http://lutemusic.org/composers/Binchois/songs/pdf/pour_prison.pdf</v>
      </c>
      <c r="AB498" s="0" t="str">
        <f aca="false">HYPERLINK("http://lutemusic.org/composers/Binchois/songs/midi/pour_prison.mid")</f>
        <v>http://lutemusic.org/composers/Binchois/songs/midi/pour_prison.mid</v>
      </c>
      <c r="AC498" s="0" t="n">
        <v>1573937408</v>
      </c>
      <c r="AD498" s="0" t="n">
        <v>1586042063</v>
      </c>
    </row>
    <row r="499" customFormat="false" ht="12.8" hidden="false" customHeight="false" outlineLevel="0" collapsed="false">
      <c r="A499" s="0" t="s">
        <v>963</v>
      </c>
      <c r="C499" s="0" t="s">
        <v>946</v>
      </c>
      <c r="E499" s="0" t="s">
        <v>961</v>
      </c>
      <c r="F499" s="0" t="s">
        <v>962</v>
      </c>
      <c r="H499" s="0" t="n">
        <v>1440</v>
      </c>
      <c r="I499" s="0" t="s">
        <v>262</v>
      </c>
      <c r="J499" s="0" t="s">
        <v>36</v>
      </c>
      <c r="K499" s="0" t="s">
        <v>432</v>
      </c>
      <c r="L499" s="0" t="s">
        <v>432</v>
      </c>
      <c r="P499" s="0" t="s">
        <v>963</v>
      </c>
      <c r="R499" s="0" t="s">
        <v>51</v>
      </c>
      <c r="S499" s="0" t="s">
        <v>38</v>
      </c>
      <c r="T499" s="0" t="n">
        <v>2</v>
      </c>
      <c r="U499" s="0" t="s">
        <v>956</v>
      </c>
      <c r="V499" s="0" t="s">
        <v>40</v>
      </c>
      <c r="Z499" s="0" t="str">
        <f aca="false">HYPERLINK("http://lutemusic.org/composers/Binchois/songs/seule_esgaree.ft3")</f>
        <v>http://lutemusic.org/composers/Binchois/songs/seule_esgaree.ft3</v>
      </c>
      <c r="AA499" s="0" t="str">
        <f aca="false">HYPERLINK("http://lutemusic.org/composers/Binchois/songs/pdf/seule_esgaree.pdf")</f>
        <v>http://lutemusic.org/composers/Binchois/songs/pdf/seule_esgaree.pdf</v>
      </c>
      <c r="AB499" s="0" t="str">
        <f aca="false">HYPERLINK("http://lutemusic.org/composers/Binchois/songs/midi/seule_esgaree.mid")</f>
        <v>http://lutemusic.org/composers/Binchois/songs/midi/seule_esgaree.mid</v>
      </c>
      <c r="AC499" s="0" t="n">
        <v>1573937408</v>
      </c>
      <c r="AD499" s="0" t="n">
        <v>1586042063</v>
      </c>
    </row>
    <row r="500" customFormat="false" ht="12.8" hidden="false" customHeight="false" outlineLevel="0" collapsed="false">
      <c r="A500" s="0" t="s">
        <v>964</v>
      </c>
      <c r="B500" s="0" t="s">
        <v>965</v>
      </c>
      <c r="C500" s="0" t="s">
        <v>966</v>
      </c>
      <c r="E500" s="0" t="s">
        <v>966</v>
      </c>
      <c r="F500" s="0" t="s">
        <v>69</v>
      </c>
      <c r="H500" s="0" t="n">
        <v>1680</v>
      </c>
      <c r="I500" s="0" t="s">
        <v>262</v>
      </c>
      <c r="J500" s="0" t="s">
        <v>36</v>
      </c>
      <c r="K500" s="0" t="s">
        <v>36</v>
      </c>
      <c r="P500" s="0" t="s">
        <v>964</v>
      </c>
      <c r="R500" s="0" t="s">
        <v>51</v>
      </c>
      <c r="S500" s="0" t="s">
        <v>424</v>
      </c>
      <c r="T500" s="0" t="n">
        <v>4</v>
      </c>
      <c r="U500" s="0" t="s">
        <v>967</v>
      </c>
      <c r="V500" s="0" t="s">
        <v>423</v>
      </c>
      <c r="Z500" s="0" t="str">
        <f aca="false">HYPERLINK("http://lutemusic.org/composers/Blow/no_more_the_dear_lovely_nymph/no_more_the_dear_lovely_nymph_B.ft3")</f>
        <v>http://lutemusic.org/composers/Blow/no_more_the_dear_lovely_nymph/no_more_the_dear_lovely_nymph_B.ft3</v>
      </c>
      <c r="AA500" s="0" t="str">
        <f aca="false">HYPERLINK("http://lutemusic.org/composers/Blow/no_more_the_dear_lovely_nymph/pdf/no_more_the_dear_lovely_nymph_B.pdf")</f>
        <v>http://lutemusic.org/composers/Blow/no_more_the_dear_lovely_nymph/pdf/no_more_the_dear_lovely_nymph_B.pdf</v>
      </c>
      <c r="AB500" s="0" t="str">
        <f aca="false">HYPERLINK("http://lutemusic.org/composers/Blow/no_more_the_dear_lovely_nymph/midi/no_more_the_dear_lovely_nymph_B.mid")</f>
        <v>http://lutemusic.org/composers/Blow/no_more_the_dear_lovely_nymph/midi/no_more_the_dear_lovely_nymph_B.mid</v>
      </c>
      <c r="AC500" s="0" t="n">
        <v>1573937408</v>
      </c>
      <c r="AD500" s="0" t="n">
        <v>1586042063</v>
      </c>
    </row>
    <row r="501" customFormat="false" ht="12.8" hidden="false" customHeight="false" outlineLevel="0" collapsed="false">
      <c r="A501" s="0" t="s">
        <v>964</v>
      </c>
      <c r="B501" s="0" t="s">
        <v>965</v>
      </c>
      <c r="C501" s="0" t="s">
        <v>966</v>
      </c>
      <c r="E501" s="0" t="s">
        <v>966</v>
      </c>
      <c r="F501" s="0" t="s">
        <v>69</v>
      </c>
      <c r="H501" s="0" t="n">
        <v>1680</v>
      </c>
      <c r="I501" s="0" t="s">
        <v>262</v>
      </c>
      <c r="J501" s="0" t="s">
        <v>36</v>
      </c>
      <c r="K501" s="0" t="s">
        <v>36</v>
      </c>
      <c r="P501" s="0" t="s">
        <v>964</v>
      </c>
      <c r="R501" s="0" t="s">
        <v>51</v>
      </c>
      <c r="S501" s="0" t="s">
        <v>424</v>
      </c>
      <c r="T501" s="0" t="n">
        <v>4</v>
      </c>
      <c r="U501" s="0" t="s">
        <v>967</v>
      </c>
      <c r="V501" s="0" t="s">
        <v>40</v>
      </c>
      <c r="Z501" s="0" t="str">
        <f aca="false">HYPERLINK("http://lutemusic.org/composers/Blow/no_more_the_dear_lovely_nymph/no_more_the_dear_lovely_nymph_S.ft3")</f>
        <v>http://lutemusic.org/composers/Blow/no_more_the_dear_lovely_nymph/no_more_the_dear_lovely_nymph_S.ft3</v>
      </c>
      <c r="AA501" s="0" t="str">
        <f aca="false">HYPERLINK("http://lutemusic.org/composers/Blow/no_more_the_dear_lovely_nymph/pdf/no_more_the_dear_lovely_nymph_S.pdf")</f>
        <v>http://lutemusic.org/composers/Blow/no_more_the_dear_lovely_nymph/pdf/no_more_the_dear_lovely_nymph_S.pdf</v>
      </c>
      <c r="AB501" s="0" t="str">
        <f aca="false">HYPERLINK("http://lutemusic.org/composers/Blow/no_more_the_dear_lovely_nymph/midi/no_more_the_dear_lovely_nymph_S.mid")</f>
        <v>http://lutemusic.org/composers/Blow/no_more_the_dear_lovely_nymph/midi/no_more_the_dear_lovely_nymph_S.mid</v>
      </c>
      <c r="AC501" s="0" t="n">
        <v>1573937408</v>
      </c>
      <c r="AD501" s="0" t="n">
        <v>1586042063</v>
      </c>
    </row>
    <row r="502" customFormat="false" ht="12.8" hidden="false" customHeight="false" outlineLevel="0" collapsed="false">
      <c r="A502" s="0" t="s">
        <v>964</v>
      </c>
      <c r="B502" s="0" t="s">
        <v>965</v>
      </c>
      <c r="C502" s="0" t="s">
        <v>966</v>
      </c>
      <c r="E502" s="0" t="s">
        <v>966</v>
      </c>
      <c r="F502" s="0" t="s">
        <v>69</v>
      </c>
      <c r="H502" s="0" t="n">
        <v>1680</v>
      </c>
      <c r="I502" s="0" t="s">
        <v>262</v>
      </c>
      <c r="J502" s="0" t="s">
        <v>36</v>
      </c>
      <c r="K502" s="0" t="s">
        <v>36</v>
      </c>
      <c r="P502" s="0" t="s">
        <v>964</v>
      </c>
      <c r="R502" s="0" t="s">
        <v>51</v>
      </c>
      <c r="S502" s="0" t="s">
        <v>424</v>
      </c>
      <c r="T502" s="0" t="n">
        <v>4</v>
      </c>
      <c r="U502" s="0" t="s">
        <v>967</v>
      </c>
      <c r="V502" s="0" t="s">
        <v>41</v>
      </c>
      <c r="Z502" s="0" t="str">
        <f aca="false">HYPERLINK("http://lutemusic.org/composers/Blow/no_more_the_dear_lovely_nymph/no_more_the_dear_lovely_nymph_T.ft3")</f>
        <v>http://lutemusic.org/composers/Blow/no_more_the_dear_lovely_nymph/no_more_the_dear_lovely_nymph_T.ft3</v>
      </c>
      <c r="AA502" s="0" t="str">
        <f aca="false">HYPERLINK("http://lutemusic.org/composers/Blow/no_more_the_dear_lovely_nymph/pdf/no_more_the_dear_lovely_nymph_T.pdf")</f>
        <v>http://lutemusic.org/composers/Blow/no_more_the_dear_lovely_nymph/pdf/no_more_the_dear_lovely_nymph_T.pdf</v>
      </c>
      <c r="AB502" s="0" t="str">
        <f aca="false">HYPERLINK("http://lutemusic.org/composers/Blow/no_more_the_dear_lovely_nymph/midi/no_more_the_dear_lovely_nymph_T.mid")</f>
        <v>http://lutemusic.org/composers/Blow/no_more_the_dear_lovely_nymph/midi/no_more_the_dear_lovely_nymph_T.mid</v>
      </c>
      <c r="AC502" s="0" t="n">
        <v>1573937408</v>
      </c>
      <c r="AD502" s="0" t="n">
        <v>1586042063</v>
      </c>
    </row>
    <row r="503" customFormat="false" ht="12.8" hidden="false" customHeight="false" outlineLevel="0" collapsed="false">
      <c r="A503" s="0" t="s">
        <v>964</v>
      </c>
      <c r="B503" s="0" t="s">
        <v>965</v>
      </c>
      <c r="C503" s="0" t="s">
        <v>966</v>
      </c>
      <c r="E503" s="0" t="s">
        <v>966</v>
      </c>
      <c r="F503" s="0" t="s">
        <v>69</v>
      </c>
      <c r="H503" s="0" t="n">
        <v>1680</v>
      </c>
      <c r="I503" s="0" t="s">
        <v>262</v>
      </c>
      <c r="J503" s="0" t="s">
        <v>36</v>
      </c>
      <c r="K503" s="0" t="s">
        <v>36</v>
      </c>
      <c r="P503" s="0" t="s">
        <v>964</v>
      </c>
      <c r="R503" s="0" t="s">
        <v>51</v>
      </c>
      <c r="S503" s="0" t="s">
        <v>424</v>
      </c>
      <c r="T503" s="0" t="n">
        <v>4</v>
      </c>
      <c r="U503" s="0" t="s">
        <v>967</v>
      </c>
      <c r="V503" s="0" t="s">
        <v>968</v>
      </c>
      <c r="Z503" s="0" t="str">
        <f aca="false">HYPERLINK("http://lutemusic.org/composers/Blow/no_more_the_dear_lovely_nymph/no_more_the_dear_lovely_nymph_VB.ft3")</f>
        <v>http://lutemusic.org/composers/Blow/no_more_the_dear_lovely_nymph/no_more_the_dear_lovely_nymph_VB.ft3</v>
      </c>
      <c r="AA503" s="0" t="str">
        <f aca="false">HYPERLINK("http://lutemusic.org/composers/Blow/no_more_the_dear_lovely_nymph/pdf/no_more_the_dear_lovely_nymph_VB.pdf")</f>
        <v>http://lutemusic.org/composers/Blow/no_more_the_dear_lovely_nymph/pdf/no_more_the_dear_lovely_nymph_VB.pdf</v>
      </c>
      <c r="AB503" s="0" t="str">
        <f aca="false">HYPERLINK("http://lutemusic.org/composers/Blow/no_more_the_dear_lovely_nymph/midi/no_more_the_dear_lovely_nymph_VB.mid")</f>
        <v>http://lutemusic.org/composers/Blow/no_more_the_dear_lovely_nymph/midi/no_more_the_dear_lovely_nymph_VB.mid</v>
      </c>
      <c r="AC503" s="0" t="n">
        <v>1573937408</v>
      </c>
      <c r="AD503" s="0" t="n">
        <v>1586042063</v>
      </c>
    </row>
    <row r="504" customFormat="false" ht="12.8" hidden="false" customHeight="false" outlineLevel="0" collapsed="false">
      <c r="A504" s="0" t="s">
        <v>964</v>
      </c>
      <c r="B504" s="0" t="s">
        <v>965</v>
      </c>
      <c r="C504" s="0" t="s">
        <v>966</v>
      </c>
      <c r="E504" s="0" t="s">
        <v>966</v>
      </c>
      <c r="F504" s="0" t="s">
        <v>69</v>
      </c>
      <c r="H504" s="0" t="n">
        <v>1680</v>
      </c>
      <c r="I504" s="0" t="s">
        <v>262</v>
      </c>
      <c r="J504" s="0" t="s">
        <v>36</v>
      </c>
      <c r="K504" s="0" t="s">
        <v>36</v>
      </c>
      <c r="P504" s="0" t="s">
        <v>964</v>
      </c>
      <c r="R504" s="0" t="s">
        <v>51</v>
      </c>
      <c r="S504" s="0" t="s">
        <v>424</v>
      </c>
      <c r="T504" s="0" t="n">
        <v>4</v>
      </c>
      <c r="U504" s="0" t="s">
        <v>967</v>
      </c>
      <c r="V504" s="0" t="s">
        <v>570</v>
      </c>
      <c r="Z504" s="0" t="str">
        <f aca="false">HYPERLINK("http://lutemusic.org/composers/Blow/no_more_the_dear_lovely_nymph/no_more_the_dear_lovely_nymph_VT.ft3")</f>
        <v>http://lutemusic.org/composers/Blow/no_more_the_dear_lovely_nymph/no_more_the_dear_lovely_nymph_VT.ft3</v>
      </c>
      <c r="AA504" s="0" t="str">
        <f aca="false">HYPERLINK("http://lutemusic.org/composers/Blow/no_more_the_dear_lovely_nymph/pdf/no_more_the_dear_lovely_nymph_VT.pdf")</f>
        <v>http://lutemusic.org/composers/Blow/no_more_the_dear_lovely_nymph/pdf/no_more_the_dear_lovely_nymph_VT.pdf</v>
      </c>
      <c r="AB504" s="0" t="str">
        <f aca="false">HYPERLINK("http://lutemusic.org/composers/Blow/no_more_the_dear_lovely_nymph/midi/no_more_the_dear_lovely_nymph_VT.mid")</f>
        <v>http://lutemusic.org/composers/Blow/no_more_the_dear_lovely_nymph/midi/no_more_the_dear_lovely_nymph_VT.mid</v>
      </c>
      <c r="AC504" s="0" t="n">
        <v>1573937408</v>
      </c>
      <c r="AD504" s="0" t="n">
        <v>1586042063</v>
      </c>
    </row>
    <row r="505" customFormat="false" ht="12.8" hidden="false" customHeight="false" outlineLevel="0" collapsed="false">
      <c r="A505" s="0" t="s">
        <v>969</v>
      </c>
      <c r="C505" s="0" t="s">
        <v>966</v>
      </c>
      <c r="E505" s="0" t="s">
        <v>966</v>
      </c>
      <c r="F505" s="0" t="s">
        <v>69</v>
      </c>
      <c r="H505" s="0" t="n">
        <v>1680</v>
      </c>
      <c r="I505" s="0" t="s">
        <v>970</v>
      </c>
      <c r="J505" s="0" t="s">
        <v>36</v>
      </c>
      <c r="K505" s="0" t="s">
        <v>36</v>
      </c>
      <c r="P505" s="0" t="s">
        <v>969</v>
      </c>
      <c r="R505" s="0" t="s">
        <v>51</v>
      </c>
      <c r="S505" s="0" t="s">
        <v>480</v>
      </c>
      <c r="T505" s="0" t="n">
        <v>4</v>
      </c>
      <c r="U505" s="0" t="s">
        <v>967</v>
      </c>
      <c r="V505" s="0" t="s">
        <v>423</v>
      </c>
      <c r="Z505" s="0" t="str">
        <f aca="false">HYPERLINK("http://lutemusic.org/composers/Blow/o_turn_not_those_fine_eyes_away/o_turn_not_those_fine_eyes_away_B.ft3")</f>
        <v>http://lutemusic.org/composers/Blow/o_turn_not_those_fine_eyes_away/o_turn_not_those_fine_eyes_away_B.ft3</v>
      </c>
      <c r="AA505" s="0" t="str">
        <f aca="false">HYPERLINK("http://lutemusic.org/composers/Blow/o_turn_not_those_fine_eyes_away/pdf/o_turn_not_those_fine_eyes_away_B.pdf")</f>
        <v>http://lutemusic.org/composers/Blow/o_turn_not_those_fine_eyes_away/pdf/o_turn_not_those_fine_eyes_away_B.pdf</v>
      </c>
      <c r="AB505" s="0" t="str">
        <f aca="false">HYPERLINK("http://lutemusic.org/composers/Blow/o_turn_not_those_fine_eyes_away/midi/o_turn_not_those_fine_eyes_away_B.mid")</f>
        <v>http://lutemusic.org/composers/Blow/o_turn_not_those_fine_eyes_away/midi/o_turn_not_those_fine_eyes_away_B.mid</v>
      </c>
      <c r="AC505" s="0" t="n">
        <v>1573937408</v>
      </c>
      <c r="AD505" s="0" t="n">
        <v>1586042063</v>
      </c>
    </row>
    <row r="506" customFormat="false" ht="12.8" hidden="false" customHeight="false" outlineLevel="0" collapsed="false">
      <c r="A506" s="0" t="s">
        <v>969</v>
      </c>
      <c r="C506" s="0" t="s">
        <v>966</v>
      </c>
      <c r="E506" s="0" t="s">
        <v>966</v>
      </c>
      <c r="F506" s="0" t="s">
        <v>69</v>
      </c>
      <c r="H506" s="0" t="n">
        <v>1680</v>
      </c>
      <c r="I506" s="0" t="s">
        <v>970</v>
      </c>
      <c r="J506" s="0" t="s">
        <v>36</v>
      </c>
      <c r="K506" s="0" t="s">
        <v>36</v>
      </c>
      <c r="P506" s="0" t="s">
        <v>969</v>
      </c>
      <c r="R506" s="0" t="s">
        <v>51</v>
      </c>
      <c r="S506" s="0" t="s">
        <v>480</v>
      </c>
      <c r="T506" s="0" t="n">
        <v>4</v>
      </c>
      <c r="U506" s="0" t="s">
        <v>967</v>
      </c>
      <c r="V506" s="0" t="s">
        <v>40</v>
      </c>
      <c r="Z506" s="0" t="str">
        <f aca="false">HYPERLINK("http://lutemusic.org/composers/Blow/o_turn_not_those_fine_eyes_away/o_turn_not_those_fine_eyes_away_S.ft3")</f>
        <v>http://lutemusic.org/composers/Blow/o_turn_not_those_fine_eyes_away/o_turn_not_those_fine_eyes_away_S.ft3</v>
      </c>
      <c r="AA506" s="0" t="str">
        <f aca="false">HYPERLINK("http://lutemusic.org/composers/Blow/o_turn_not_those_fine_eyes_away/pdf/o_turn_not_those_fine_eyes_away_S.pdf")</f>
        <v>http://lutemusic.org/composers/Blow/o_turn_not_those_fine_eyes_away/pdf/o_turn_not_those_fine_eyes_away_S.pdf</v>
      </c>
      <c r="AB506" s="0" t="str">
        <f aca="false">HYPERLINK("http://lutemusic.org/composers/Blow/o_turn_not_those_fine_eyes_away/midi/o_turn_not_those_fine_eyes_away_S.mid")</f>
        <v>http://lutemusic.org/composers/Blow/o_turn_not_those_fine_eyes_away/midi/o_turn_not_those_fine_eyes_away_S.mid</v>
      </c>
      <c r="AC506" s="0" t="n">
        <v>1573937408</v>
      </c>
      <c r="AD506" s="0" t="n">
        <v>1586042063</v>
      </c>
    </row>
    <row r="507" customFormat="false" ht="12.8" hidden="false" customHeight="false" outlineLevel="0" collapsed="false">
      <c r="A507" s="0" t="s">
        <v>969</v>
      </c>
      <c r="C507" s="0" t="s">
        <v>966</v>
      </c>
      <c r="E507" s="0" t="s">
        <v>966</v>
      </c>
      <c r="F507" s="0" t="s">
        <v>69</v>
      </c>
      <c r="H507" s="0" t="n">
        <v>1680</v>
      </c>
      <c r="I507" s="0" t="s">
        <v>970</v>
      </c>
      <c r="J507" s="0" t="s">
        <v>36</v>
      </c>
      <c r="K507" s="0" t="s">
        <v>36</v>
      </c>
      <c r="P507" s="0" t="s">
        <v>969</v>
      </c>
      <c r="R507" s="0" t="s">
        <v>51</v>
      </c>
      <c r="S507" s="0" t="s">
        <v>480</v>
      </c>
      <c r="T507" s="0" t="n">
        <v>4</v>
      </c>
      <c r="U507" s="0" t="s">
        <v>967</v>
      </c>
      <c r="V507" s="0" t="s">
        <v>41</v>
      </c>
      <c r="Z507" s="0" t="str">
        <f aca="false">HYPERLINK("http://lutemusic.org/composers/Blow/o_turn_not_those_fine_eyes_away/o_turn_not_those_fine_eyes_away_T.ft3")</f>
        <v>http://lutemusic.org/composers/Blow/o_turn_not_those_fine_eyes_away/o_turn_not_those_fine_eyes_away_T.ft3</v>
      </c>
      <c r="AA507" s="0" t="str">
        <f aca="false">HYPERLINK("http://lutemusic.org/composers/Blow/o_turn_not_those_fine_eyes_away/pdf/o_turn_not_those_fine_eyes_away_T.pdf")</f>
        <v>http://lutemusic.org/composers/Blow/o_turn_not_those_fine_eyes_away/pdf/o_turn_not_those_fine_eyes_away_T.pdf</v>
      </c>
      <c r="AB507" s="0" t="str">
        <f aca="false">HYPERLINK("http://lutemusic.org/composers/Blow/o_turn_not_those_fine_eyes_away/midi/o_turn_not_those_fine_eyes_away_T.mid")</f>
        <v>http://lutemusic.org/composers/Blow/o_turn_not_those_fine_eyes_away/midi/o_turn_not_those_fine_eyes_away_T.mid</v>
      </c>
      <c r="AC507" s="0" t="n">
        <v>1573937408</v>
      </c>
      <c r="AD507" s="0" t="n">
        <v>1586042063</v>
      </c>
    </row>
    <row r="508" customFormat="false" ht="12.8" hidden="false" customHeight="false" outlineLevel="0" collapsed="false">
      <c r="A508" s="0" t="s">
        <v>969</v>
      </c>
      <c r="C508" s="0" t="s">
        <v>966</v>
      </c>
      <c r="E508" s="0" t="s">
        <v>966</v>
      </c>
      <c r="F508" s="0" t="s">
        <v>69</v>
      </c>
      <c r="H508" s="0" t="n">
        <v>1680</v>
      </c>
      <c r="I508" s="0" t="s">
        <v>970</v>
      </c>
      <c r="J508" s="0" t="s">
        <v>36</v>
      </c>
      <c r="K508" s="0" t="s">
        <v>36</v>
      </c>
      <c r="P508" s="0" t="s">
        <v>969</v>
      </c>
      <c r="R508" s="0" t="s">
        <v>51</v>
      </c>
      <c r="S508" s="0" t="s">
        <v>480</v>
      </c>
      <c r="T508" s="0" t="n">
        <v>4</v>
      </c>
      <c r="U508" s="0" t="s">
        <v>967</v>
      </c>
      <c r="V508" s="0" t="s">
        <v>968</v>
      </c>
      <c r="Z508" s="0" t="str">
        <f aca="false">HYPERLINK("http://lutemusic.org/composers/Blow/o_turn_not_those_fine_eyes_away/o_turn_not_those_fine_eyes_away_VB.ft3")</f>
        <v>http://lutemusic.org/composers/Blow/o_turn_not_those_fine_eyes_away/o_turn_not_those_fine_eyes_away_VB.ft3</v>
      </c>
      <c r="AA508" s="0" t="str">
        <f aca="false">HYPERLINK("http://lutemusic.org/composers/Blow/o_turn_not_those_fine_eyes_away/pdf/o_turn_not_those_fine_eyes_away_VB.pdf")</f>
        <v>http://lutemusic.org/composers/Blow/o_turn_not_those_fine_eyes_away/pdf/o_turn_not_those_fine_eyes_away_VB.pdf</v>
      </c>
      <c r="AB508" s="0" t="str">
        <f aca="false">HYPERLINK("http://lutemusic.org/composers/Blow/o_turn_not_those_fine_eyes_away/midi/o_turn_not_those_fine_eyes_away_VB.mid")</f>
        <v>http://lutemusic.org/composers/Blow/o_turn_not_those_fine_eyes_away/midi/o_turn_not_those_fine_eyes_away_VB.mid</v>
      </c>
      <c r="AC508" s="0" t="n">
        <v>1573937408</v>
      </c>
      <c r="AD508" s="0" t="n">
        <v>1586042063</v>
      </c>
    </row>
    <row r="509" customFormat="false" ht="12.8" hidden="false" customHeight="false" outlineLevel="0" collapsed="false">
      <c r="A509" s="0" t="s">
        <v>969</v>
      </c>
      <c r="C509" s="0" t="s">
        <v>966</v>
      </c>
      <c r="E509" s="0" t="s">
        <v>966</v>
      </c>
      <c r="F509" s="0" t="s">
        <v>69</v>
      </c>
      <c r="H509" s="0" t="n">
        <v>1680</v>
      </c>
      <c r="I509" s="0" t="s">
        <v>970</v>
      </c>
      <c r="J509" s="0" t="s">
        <v>36</v>
      </c>
      <c r="K509" s="0" t="s">
        <v>36</v>
      </c>
      <c r="P509" s="0" t="s">
        <v>969</v>
      </c>
      <c r="R509" s="0" t="s">
        <v>51</v>
      </c>
      <c r="S509" s="0" t="s">
        <v>480</v>
      </c>
      <c r="T509" s="0" t="n">
        <v>4</v>
      </c>
      <c r="U509" s="0" t="s">
        <v>967</v>
      </c>
      <c r="V509" s="0" t="s">
        <v>570</v>
      </c>
      <c r="Z509" s="0" t="str">
        <f aca="false">HYPERLINK("http://lutemusic.org/composers/Blow/o_turn_not_those_fine_eyes_away/o_turn_not_those_fine_eyes_away_VT.ft3")</f>
        <v>http://lutemusic.org/composers/Blow/o_turn_not_those_fine_eyes_away/o_turn_not_those_fine_eyes_away_VT.ft3</v>
      </c>
      <c r="AA509" s="0" t="str">
        <f aca="false">HYPERLINK("http://lutemusic.org/composers/Blow/o_turn_not_those_fine_eyes_away/pdf/o_turn_not_those_fine_eyes_away_VT.pdf")</f>
        <v>http://lutemusic.org/composers/Blow/o_turn_not_those_fine_eyes_away/pdf/o_turn_not_those_fine_eyes_away_VT.pdf</v>
      </c>
      <c r="AB509" s="0" t="str">
        <f aca="false">HYPERLINK("http://lutemusic.org/composers/Blow/o_turn_not_those_fine_eyes_away/midi/o_turn_not_those_fine_eyes_away_VT.mid")</f>
        <v>http://lutemusic.org/composers/Blow/o_turn_not_those_fine_eyes_away/midi/o_turn_not_those_fine_eyes_away_VT.mid</v>
      </c>
      <c r="AC509" s="0" t="n">
        <v>1573937408</v>
      </c>
      <c r="AD509" s="0" t="n">
        <v>1586042063</v>
      </c>
    </row>
    <row r="510" customFormat="false" ht="12.8" hidden="false" customHeight="false" outlineLevel="0" collapsed="false">
      <c r="A510" s="0" t="s">
        <v>97</v>
      </c>
      <c r="C510" s="0" t="s">
        <v>971</v>
      </c>
      <c r="E510" s="0" t="s">
        <v>972</v>
      </c>
      <c r="F510" s="0" t="s">
        <v>973</v>
      </c>
      <c r="H510" s="0" t="n">
        <v>1603</v>
      </c>
      <c r="I510" s="0" t="s">
        <v>293</v>
      </c>
      <c r="J510" s="0" t="s">
        <v>36</v>
      </c>
      <c r="K510" s="0" t="s">
        <v>36</v>
      </c>
      <c r="P510" s="0" t="s">
        <v>97</v>
      </c>
      <c r="R510" s="0" t="s">
        <v>672</v>
      </c>
      <c r="S510" s="0" t="s">
        <v>175</v>
      </c>
      <c r="T510" s="0" t="n">
        <v>3</v>
      </c>
      <c r="U510" s="0" t="s">
        <v>53</v>
      </c>
      <c r="Y510" s="0" t="str">
        <f aca="false">HYPERLINK("http://lutemusic.org/facsimiles/BesardJ/Thesaurus_Harmonicus_1603/006.png")</f>
        <v>http://lutemusic.org/facsimiles/BesardJ/Thesaurus_Harmonicus_1603/006.png</v>
      </c>
      <c r="Z510" s="0" t="str">
        <f aca="false">HYPERLINK("http://lutemusic.org/composers/Bocquet/Bocquet_prelude.ft3")</f>
        <v>http://lutemusic.org/composers/Bocquet/Bocquet_prelude.ft3</v>
      </c>
      <c r="AA510" s="0" t="str">
        <f aca="false">HYPERLINK("http://lutemusic.org/composers/Bocquet/pdf/Bocquet_prelude.pdf")</f>
        <v>http://lutemusic.org/composers/Bocquet/pdf/Bocquet_prelude.pdf</v>
      </c>
      <c r="AB510" s="0" t="str">
        <f aca="false">HYPERLINK("http://lutemusic.org/composers/Bocquet/midi/Bocquet_prelude.mid")</f>
        <v>http://lutemusic.org/composers/Bocquet/midi/Bocquet_prelude.mid</v>
      </c>
      <c r="AC510" s="0" t="n">
        <v>1573937408</v>
      </c>
      <c r="AD510" s="0" t="n">
        <v>1586042063</v>
      </c>
    </row>
    <row r="511" customFormat="false" ht="12.8" hidden="false" customHeight="false" outlineLevel="0" collapsed="false">
      <c r="A511" s="0" t="s">
        <v>974</v>
      </c>
      <c r="C511" s="0" t="s">
        <v>971</v>
      </c>
      <c r="E511" s="0" t="s">
        <v>972</v>
      </c>
      <c r="F511" s="0" t="s">
        <v>973</v>
      </c>
      <c r="H511" s="0" t="n">
        <v>1603</v>
      </c>
      <c r="I511" s="0" t="s">
        <v>236</v>
      </c>
      <c r="J511" s="0" t="s">
        <v>36</v>
      </c>
      <c r="K511" s="0" t="s">
        <v>36</v>
      </c>
      <c r="P511" s="0" t="s">
        <v>974</v>
      </c>
      <c r="R511" s="0" t="s">
        <v>672</v>
      </c>
      <c r="S511" s="0" t="s">
        <v>49</v>
      </c>
      <c r="T511" s="0" t="n">
        <v>4</v>
      </c>
      <c r="U511" s="0" t="s">
        <v>53</v>
      </c>
      <c r="Y511" s="0" t="str">
        <f aca="false">HYPERLINK("http://lutemusic.org/facsimiles/BesardJ/Thesaurus_Harmonicus_1603/005v.png")</f>
        <v>http://lutemusic.org/facsimiles/BesardJ/Thesaurus_Harmonicus_1603/005v.png</v>
      </c>
      <c r="Z511" s="0" t="str">
        <f aca="false">HYPERLINK("http://lutemusic.org/composers/Bocquet/praeludium.ft3")</f>
        <v>http://lutemusic.org/composers/Bocquet/praeludium.ft3</v>
      </c>
      <c r="AA511" s="0" t="str">
        <f aca="false">HYPERLINK("http://lutemusic.org/composers/Bocquet/pdf/praeludium.pdf")</f>
        <v>http://lutemusic.org/composers/Bocquet/pdf/praeludium.pdf</v>
      </c>
      <c r="AB511" s="0" t="str">
        <f aca="false">HYPERLINK("http://lutemusic.org/composers/Bocquet/midi/praeludium.mid")</f>
        <v>http://lutemusic.org/composers/Bocquet/midi/praeludium.mid</v>
      </c>
      <c r="AC511" s="0" t="n">
        <v>1573937408</v>
      </c>
      <c r="AD511" s="0" t="n">
        <v>1586042063</v>
      </c>
    </row>
    <row r="512" customFormat="false" ht="12.8" hidden="false" customHeight="false" outlineLevel="0" collapsed="false">
      <c r="A512" s="0" t="s">
        <v>975</v>
      </c>
      <c r="C512" s="0" t="s">
        <v>976</v>
      </c>
      <c r="E512" s="0" t="s">
        <v>976</v>
      </c>
      <c r="F512" s="0" t="s">
        <v>977</v>
      </c>
      <c r="H512" s="0" t="n">
        <v>1554</v>
      </c>
      <c r="I512" s="0" t="s">
        <v>978</v>
      </c>
      <c r="J512" s="0" t="s">
        <v>36</v>
      </c>
      <c r="K512" s="0" t="s">
        <v>36</v>
      </c>
      <c r="P512" s="0" t="s">
        <v>975</v>
      </c>
      <c r="R512" s="0" t="s">
        <v>51</v>
      </c>
      <c r="S512" s="0" t="s">
        <v>49</v>
      </c>
      <c r="T512" s="0" t="n">
        <v>2</v>
      </c>
      <c r="U512" s="0" t="s">
        <v>979</v>
      </c>
      <c r="V512" s="0" t="s">
        <v>40</v>
      </c>
      <c r="Z512" s="0" t="str">
        <f aca="false">HYPERLINK("http://lutemusic.org/composers/Boesset/divine_amaryllis/divine_amaryllis.ft3")</f>
        <v>http://lutemusic.org/composers/Boesset/divine_amaryllis/divine_amaryllis.ft3</v>
      </c>
      <c r="AA512" s="0" t="str">
        <f aca="false">HYPERLINK("http://lutemusic.org/composers/Boesset/divine_amaryllis/pdf/divine_amaryllis.pdf")</f>
        <v>http://lutemusic.org/composers/Boesset/divine_amaryllis/pdf/divine_amaryllis.pdf</v>
      </c>
      <c r="AB512" s="0" t="str">
        <f aca="false">HYPERLINK("http://lutemusic.org/composers/Boesset/divine_amaryllis/midi/divine_amaryllis.mid")</f>
        <v>http://lutemusic.org/composers/Boesset/divine_amaryllis/midi/divine_amaryllis.mid</v>
      </c>
      <c r="AC512" s="0" t="n">
        <v>1573937408</v>
      </c>
      <c r="AD512" s="0" t="n">
        <v>1586042063</v>
      </c>
    </row>
    <row r="513" customFormat="false" ht="12.8" hidden="false" customHeight="false" outlineLevel="0" collapsed="false">
      <c r="A513" s="0" t="s">
        <v>975</v>
      </c>
      <c r="C513" s="0" t="s">
        <v>976</v>
      </c>
      <c r="E513" s="0" t="s">
        <v>976</v>
      </c>
      <c r="F513" s="0" t="s">
        <v>977</v>
      </c>
      <c r="H513" s="0" t="n">
        <v>1554</v>
      </c>
      <c r="I513" s="0" t="s">
        <v>978</v>
      </c>
      <c r="J513" s="0" t="s">
        <v>36</v>
      </c>
      <c r="K513" s="0" t="s">
        <v>36</v>
      </c>
      <c r="P513" s="0" t="s">
        <v>975</v>
      </c>
      <c r="R513" s="0" t="s">
        <v>51</v>
      </c>
      <c r="S513" s="0" t="s">
        <v>49</v>
      </c>
      <c r="T513" s="0" t="n">
        <v>2</v>
      </c>
      <c r="U513" s="0" t="s">
        <v>979</v>
      </c>
      <c r="V513" s="0" t="s">
        <v>53</v>
      </c>
      <c r="Z513" s="0" t="str">
        <f aca="false">HYPERLINK("http://lutemusic.org/composers/Boesset/divine_amaryllis/divine_amaryllis_T.ft3")</f>
        <v>http://lutemusic.org/composers/Boesset/divine_amaryllis/divine_amaryllis_T.ft3</v>
      </c>
      <c r="AA513" s="0" t="str">
        <f aca="false">HYPERLINK("http://lutemusic.org/composers/Boesset/divine_amaryllis/pdf/divine_amaryllis_T.pdf")</f>
        <v>http://lutemusic.org/composers/Boesset/divine_amaryllis/pdf/divine_amaryllis_T.pdf</v>
      </c>
      <c r="AB513" s="0" t="str">
        <f aca="false">HYPERLINK("http://lutemusic.org/composers/Boesset/divine_amaryllis/midi/divine_amaryllis_T.mid")</f>
        <v>http://lutemusic.org/composers/Boesset/divine_amaryllis/midi/divine_amaryllis_T.mid</v>
      </c>
      <c r="AC513" s="0" t="n">
        <v>1573937408</v>
      </c>
      <c r="AD513" s="0" t="n">
        <v>1586042063</v>
      </c>
    </row>
    <row r="514" customFormat="false" ht="12.8" hidden="false" customHeight="false" outlineLevel="0" collapsed="false">
      <c r="A514" s="0" t="s">
        <v>980</v>
      </c>
      <c r="C514" s="0" t="s">
        <v>976</v>
      </c>
      <c r="E514" s="0" t="s">
        <v>976</v>
      </c>
      <c r="F514" s="0" t="s">
        <v>981</v>
      </c>
      <c r="H514" s="0" t="n">
        <v>1554</v>
      </c>
      <c r="I514" s="0" t="s">
        <v>982</v>
      </c>
      <c r="J514" s="0" t="s">
        <v>36</v>
      </c>
      <c r="K514" s="0" t="s">
        <v>36</v>
      </c>
      <c r="P514" s="0" t="s">
        <v>980</v>
      </c>
      <c r="R514" s="0" t="s">
        <v>51</v>
      </c>
      <c r="S514" s="0" t="s">
        <v>66</v>
      </c>
      <c r="T514" s="0" t="n">
        <v>3</v>
      </c>
      <c r="U514" s="0" t="s">
        <v>983</v>
      </c>
      <c r="V514" s="0" t="s">
        <v>40</v>
      </c>
      <c r="Z514" s="0" t="str">
        <f aca="false">HYPERLINK("http://lutemusic.org/composers/Boesset/objet_dont_les_charmes_si_doux/objet_dont_les_charmes_si_doux.ft3")</f>
        <v>http://lutemusic.org/composers/Boesset/objet_dont_les_charmes_si_doux/objet_dont_les_charmes_si_doux.ft3</v>
      </c>
      <c r="AA514" s="0" t="str">
        <f aca="false">HYPERLINK("http://lutemusic.org/composers/Boesset/objet_dont_les_charmes_si_doux/pdf/objet_dont_les_charmes_si_doux.pdf")</f>
        <v>http://lutemusic.org/composers/Boesset/objet_dont_les_charmes_si_doux/pdf/objet_dont_les_charmes_si_doux.pdf</v>
      </c>
      <c r="AB514" s="0" t="str">
        <f aca="false">HYPERLINK("http://lutemusic.org/composers/Boesset/objet_dont_les_charmes_si_doux/midi/objet_dont_les_charmes_si_doux.mid")</f>
        <v>http://lutemusic.org/composers/Boesset/objet_dont_les_charmes_si_doux/midi/objet_dont_les_charmes_si_doux.mid</v>
      </c>
      <c r="AC514" s="0" t="n">
        <v>1573937408</v>
      </c>
      <c r="AD514" s="0" t="n">
        <v>1586042063</v>
      </c>
    </row>
    <row r="515" customFormat="false" ht="12.8" hidden="false" customHeight="false" outlineLevel="0" collapsed="false">
      <c r="A515" s="0" t="s">
        <v>980</v>
      </c>
      <c r="C515" s="0" t="s">
        <v>976</v>
      </c>
      <c r="E515" s="0" t="s">
        <v>976</v>
      </c>
      <c r="F515" s="0" t="s">
        <v>981</v>
      </c>
      <c r="H515" s="0" t="n">
        <v>1554</v>
      </c>
      <c r="I515" s="0" t="s">
        <v>982</v>
      </c>
      <c r="J515" s="0" t="s">
        <v>36</v>
      </c>
      <c r="K515" s="0" t="s">
        <v>36</v>
      </c>
      <c r="P515" s="0" t="s">
        <v>980</v>
      </c>
      <c r="R515" s="0" t="s">
        <v>51</v>
      </c>
      <c r="S515" s="0" t="s">
        <v>66</v>
      </c>
      <c r="T515" s="0" t="n">
        <v>3</v>
      </c>
      <c r="U515" s="0" t="s">
        <v>983</v>
      </c>
      <c r="V515" s="0" t="s">
        <v>244</v>
      </c>
      <c r="Z515" s="0" t="str">
        <f aca="false">HYPERLINK("http://lutemusic.org/composers/Boesset/objet_dont_les_charmes_si_doux/objet_dont_les_charmes_si_doux_T.ft3")</f>
        <v>http://lutemusic.org/composers/Boesset/objet_dont_les_charmes_si_doux/objet_dont_les_charmes_si_doux_T.ft3</v>
      </c>
      <c r="AA515" s="0" t="str">
        <f aca="false">HYPERLINK("http://lutemusic.org/composers/Boesset/objet_dont_les_charmes_si_doux/pdf/objet_dont_les_charmes_si_doux_T.pdf")</f>
        <v>http://lutemusic.org/composers/Boesset/objet_dont_les_charmes_si_doux/pdf/objet_dont_les_charmes_si_doux_T.pdf</v>
      </c>
      <c r="AB515" s="0" t="str">
        <f aca="false">HYPERLINK("http://lutemusic.org/composers/Boesset/objet_dont_les_charmes_si_doux/midi/objet_dont_les_charmes_si_doux_T.mid")</f>
        <v>http://lutemusic.org/composers/Boesset/objet_dont_les_charmes_si_doux/midi/objet_dont_les_charmes_si_doux_T.mid</v>
      </c>
      <c r="AC515" s="0" t="n">
        <v>1573937408</v>
      </c>
      <c r="AD515" s="0" t="n">
        <v>1586042063</v>
      </c>
    </row>
    <row r="516" customFormat="false" ht="12.8" hidden="false" customHeight="false" outlineLevel="0" collapsed="false">
      <c r="A516" s="0" t="s">
        <v>984</v>
      </c>
      <c r="C516" s="0" t="s">
        <v>976</v>
      </c>
      <c r="E516" s="0" t="s">
        <v>976</v>
      </c>
      <c r="F516" s="0" t="s">
        <v>985</v>
      </c>
      <c r="H516" s="0" t="n">
        <v>1617</v>
      </c>
      <c r="I516" s="0" t="s">
        <v>986</v>
      </c>
      <c r="J516" s="0" t="s">
        <v>36</v>
      </c>
      <c r="K516" s="0" t="s">
        <v>36</v>
      </c>
      <c r="L516" s="0" t="s">
        <v>36</v>
      </c>
      <c r="P516" s="0" t="s">
        <v>984</v>
      </c>
      <c r="R516" s="0" t="s">
        <v>51</v>
      </c>
      <c r="S516" s="0" t="s">
        <v>38</v>
      </c>
      <c r="T516" s="0" t="n">
        <v>2</v>
      </c>
      <c r="U516" s="0" t="s">
        <v>987</v>
      </c>
      <c r="V516" s="0" t="s">
        <v>988</v>
      </c>
      <c r="Z516" s="0" t="str">
        <f aca="false">HYPERLINK("http://lutemusic.org/composers/Boesset/quelle_pointe_de_jalousie/quelle_pointe_de_jalousie_A_T.ft3")</f>
        <v>http://lutemusic.org/composers/Boesset/quelle_pointe_de_jalousie/quelle_pointe_de_jalousie_A_T.ft3</v>
      </c>
      <c r="AA516" s="0" t="str">
        <f aca="false">HYPERLINK("http://lutemusic.org/composers/Boesset/quelle_pointe_de_jalousie/pdf/quelle_pointe_de_jalousie_A_T.pdf")</f>
        <v>http://lutemusic.org/composers/Boesset/quelle_pointe_de_jalousie/pdf/quelle_pointe_de_jalousie_A_T.pdf</v>
      </c>
      <c r="AB516" s="0" t="str">
        <f aca="false">HYPERLINK("http://lutemusic.org/composers/Boesset/quelle_pointe_de_jalousie/midi/quelle_pointe_de_jalousie_A_T.mid")</f>
        <v>http://lutemusic.org/composers/Boesset/quelle_pointe_de_jalousie/midi/quelle_pointe_de_jalousie_A_T.mid</v>
      </c>
      <c r="AC516" s="0" t="n">
        <v>1573937408</v>
      </c>
      <c r="AD516" s="0" t="n">
        <v>1588451613</v>
      </c>
    </row>
    <row r="517" customFormat="false" ht="12.8" hidden="false" customHeight="false" outlineLevel="0" collapsed="false">
      <c r="A517" s="0" t="s">
        <v>984</v>
      </c>
      <c r="C517" s="0" t="s">
        <v>976</v>
      </c>
      <c r="E517" s="0" t="s">
        <v>976</v>
      </c>
      <c r="F517" s="0" t="s">
        <v>985</v>
      </c>
      <c r="H517" s="0" t="n">
        <v>1617</v>
      </c>
      <c r="I517" s="0" t="s">
        <v>989</v>
      </c>
      <c r="J517" s="0" t="s">
        <v>36</v>
      </c>
      <c r="K517" s="0" t="s">
        <v>36</v>
      </c>
      <c r="L517" s="0" t="s">
        <v>36</v>
      </c>
      <c r="P517" s="0" t="s">
        <v>984</v>
      </c>
      <c r="R517" s="0" t="s">
        <v>51</v>
      </c>
      <c r="S517" s="0" t="s">
        <v>152</v>
      </c>
      <c r="T517" s="0" t="n">
        <v>2</v>
      </c>
      <c r="U517" s="0" t="s">
        <v>990</v>
      </c>
      <c r="V517" s="0" t="s">
        <v>40</v>
      </c>
      <c r="Z517" s="0" t="str">
        <f aca="false">HYPERLINK("http://lutemusic.org/composers/Boesset/quelle_pointe_de_jalousie/quelle_pointe_de_jalousie_Bb.ft3")</f>
        <v>http://lutemusic.org/composers/Boesset/quelle_pointe_de_jalousie/quelle_pointe_de_jalousie_Bb.ft3</v>
      </c>
      <c r="AA517" s="0" t="str">
        <f aca="false">HYPERLINK("http://lutemusic.org/composers/Boesset/quelle_pointe_de_jalousie/pdf/quelle_pointe_de_jalousie_Bb.pdf")</f>
        <v>http://lutemusic.org/composers/Boesset/quelle_pointe_de_jalousie/pdf/quelle_pointe_de_jalousie_Bb.pdf</v>
      </c>
      <c r="AB517" s="0" t="str">
        <f aca="false">HYPERLINK("http://lutemusic.org/composers/Boesset/quelle_pointe_de_jalousie/midi/quelle_pointe_de_jalousie_Bb.mid")</f>
        <v>http://lutemusic.org/composers/Boesset/quelle_pointe_de_jalousie/midi/quelle_pointe_de_jalousie_Bb.mid</v>
      </c>
      <c r="AC517" s="0" t="n">
        <v>1573937408</v>
      </c>
      <c r="AD517" s="0" t="n">
        <v>1588451613</v>
      </c>
    </row>
    <row r="518" customFormat="false" ht="12.8" hidden="false" customHeight="false" outlineLevel="0" collapsed="false">
      <c r="A518" s="0" t="s">
        <v>984</v>
      </c>
      <c r="C518" s="0" t="s">
        <v>976</v>
      </c>
      <c r="E518" s="0" t="s">
        <v>976</v>
      </c>
      <c r="F518" s="0" t="s">
        <v>985</v>
      </c>
      <c r="H518" s="0" t="n">
        <v>1617</v>
      </c>
      <c r="I518" s="0" t="s">
        <v>989</v>
      </c>
      <c r="J518" s="0" t="s">
        <v>36</v>
      </c>
      <c r="K518" s="0" t="s">
        <v>36</v>
      </c>
      <c r="L518" s="0" t="s">
        <v>36</v>
      </c>
      <c r="P518" s="0" t="s">
        <v>984</v>
      </c>
      <c r="R518" s="0" t="s">
        <v>51</v>
      </c>
      <c r="S518" s="0" t="s">
        <v>152</v>
      </c>
      <c r="T518" s="0" t="n">
        <v>2</v>
      </c>
      <c r="U518" s="0" t="s">
        <v>990</v>
      </c>
      <c r="V518" s="0" t="s">
        <v>40</v>
      </c>
      <c r="Z518" s="0" t="str">
        <f aca="false">HYPERLINK("http://lutemusic.org/composers/Boesset/quelle_pointe_de_jalousie/quelle_pointe_de_jalousie_Bb_T.ft3")</f>
        <v>http://lutemusic.org/composers/Boesset/quelle_pointe_de_jalousie/quelle_pointe_de_jalousie_Bb_T.ft3</v>
      </c>
      <c r="AA518" s="0" t="str">
        <f aca="false">HYPERLINK("http://lutemusic.org/composers/Boesset/quelle_pointe_de_jalousie/pdf/quelle_pointe_de_jalousie_Bb_T.pdf")</f>
        <v>http://lutemusic.org/composers/Boesset/quelle_pointe_de_jalousie/pdf/quelle_pointe_de_jalousie_Bb_T.pdf</v>
      </c>
      <c r="AB518" s="0" t="str">
        <f aca="false">HYPERLINK("http://lutemusic.org/composers/Boesset/quelle_pointe_de_jalousie/midi/quelle_pointe_de_jalousie_Bb_T.mid")</f>
        <v>http://lutemusic.org/composers/Boesset/quelle_pointe_de_jalousie/midi/quelle_pointe_de_jalousie_Bb_T.mid</v>
      </c>
      <c r="AC518" s="0" t="n">
        <v>1573937408</v>
      </c>
      <c r="AD518" s="0" t="n">
        <v>1588451613</v>
      </c>
    </row>
    <row r="519" customFormat="false" ht="12.8" hidden="false" customHeight="false" outlineLevel="0" collapsed="false">
      <c r="A519" s="0" t="s">
        <v>984</v>
      </c>
      <c r="C519" s="0" t="s">
        <v>976</v>
      </c>
      <c r="E519" s="0" t="s">
        <v>976</v>
      </c>
      <c r="F519" s="0" t="s">
        <v>985</v>
      </c>
      <c r="H519" s="0" t="n">
        <v>1617</v>
      </c>
      <c r="I519" s="0" t="s">
        <v>989</v>
      </c>
      <c r="J519" s="0" t="s">
        <v>36</v>
      </c>
      <c r="K519" s="0" t="s">
        <v>36</v>
      </c>
      <c r="L519" s="0" t="s">
        <v>36</v>
      </c>
      <c r="P519" s="0" t="s">
        <v>984</v>
      </c>
      <c r="R519" s="0" t="s">
        <v>51</v>
      </c>
      <c r="S519" s="0" t="s">
        <v>38</v>
      </c>
      <c r="T519" s="0" t="n">
        <v>2</v>
      </c>
      <c r="U519" s="0" t="s">
        <v>990</v>
      </c>
      <c r="V519" s="0" t="s">
        <v>40</v>
      </c>
      <c r="Z519" s="0" t="str">
        <f aca="false">HYPERLINK("http://lutemusic.org/composers/Boesset/quelle_pointe_de_jalousie/quelle_pointe_de_jalousie_C.ft3")</f>
        <v>http://lutemusic.org/composers/Boesset/quelle_pointe_de_jalousie/quelle_pointe_de_jalousie_C.ft3</v>
      </c>
      <c r="AA519" s="0" t="str">
        <f aca="false">HYPERLINK("http://lutemusic.org/composers/Boesset/quelle_pointe_de_jalousie/pdf/quelle_pointe_de_jalousie_C.pdf")</f>
        <v>http://lutemusic.org/composers/Boesset/quelle_pointe_de_jalousie/pdf/quelle_pointe_de_jalousie_C.pdf</v>
      </c>
      <c r="AB519" s="0" t="str">
        <f aca="false">HYPERLINK("http://lutemusic.org/composers/Boesset/quelle_pointe_de_jalousie/midi/quelle_pointe_de_jalousie_C.mid")</f>
        <v>http://lutemusic.org/composers/Boesset/quelle_pointe_de_jalousie/midi/quelle_pointe_de_jalousie_C.mid</v>
      </c>
      <c r="AC519" s="0" t="n">
        <v>1573937408</v>
      </c>
      <c r="AD519" s="0" t="n">
        <v>1588451613</v>
      </c>
    </row>
    <row r="520" customFormat="false" ht="12.8" hidden="false" customHeight="false" outlineLevel="0" collapsed="false">
      <c r="A520" s="0" t="s">
        <v>984</v>
      </c>
      <c r="C520" s="0" t="s">
        <v>976</v>
      </c>
      <c r="E520" s="0" t="s">
        <v>976</v>
      </c>
      <c r="F520" s="0" t="s">
        <v>985</v>
      </c>
      <c r="H520" s="0" t="n">
        <v>1617</v>
      </c>
      <c r="I520" s="0" t="s">
        <v>989</v>
      </c>
      <c r="J520" s="0" t="s">
        <v>36</v>
      </c>
      <c r="K520" s="0" t="s">
        <v>36</v>
      </c>
      <c r="L520" s="0" t="s">
        <v>36</v>
      </c>
      <c r="P520" s="0" t="s">
        <v>984</v>
      </c>
      <c r="R520" s="0" t="s">
        <v>51</v>
      </c>
      <c r="S520" s="0" t="s">
        <v>38</v>
      </c>
      <c r="T520" s="0" t="n">
        <v>2</v>
      </c>
      <c r="U520" s="0" t="s">
        <v>987</v>
      </c>
      <c r="V520" s="0" t="s">
        <v>988</v>
      </c>
      <c r="Z520" s="0" t="str">
        <f aca="false">HYPERLINK("http://lutemusic.org/composers/Boesset/quelle_pointe_de_jalousie/quelle_pointe_de_jalousie_C_A-lute.ft3")</f>
        <v>http://lutemusic.org/composers/Boesset/quelle_pointe_de_jalousie/quelle_pointe_de_jalousie_C_A-lute.ft3</v>
      </c>
      <c r="AA520" s="0" t="str">
        <f aca="false">HYPERLINK("http://lutemusic.org/composers/Boesset/quelle_pointe_de_jalousie/pdf/quelle_pointe_de_jalousie_C_A-lute.pdf")</f>
        <v>http://lutemusic.org/composers/Boesset/quelle_pointe_de_jalousie/pdf/quelle_pointe_de_jalousie_C_A-lute.pdf</v>
      </c>
      <c r="AB520" s="0" t="str">
        <f aca="false">HYPERLINK("http://lutemusic.org/composers/Boesset/quelle_pointe_de_jalousie/midi/quelle_pointe_de_jalousie_C_A-lute.mid")</f>
        <v>http://lutemusic.org/composers/Boesset/quelle_pointe_de_jalousie/midi/quelle_pointe_de_jalousie_C_A-lute.mid</v>
      </c>
      <c r="AC520" s="0" t="n">
        <v>1573937408</v>
      </c>
      <c r="AD520" s="0" t="n">
        <v>1588451613</v>
      </c>
    </row>
    <row r="521" customFormat="false" ht="12.8" hidden="false" customHeight="false" outlineLevel="0" collapsed="false">
      <c r="A521" s="0" t="s">
        <v>984</v>
      </c>
      <c r="C521" s="0" t="s">
        <v>976</v>
      </c>
      <c r="E521" s="0" t="s">
        <v>976</v>
      </c>
      <c r="F521" s="0" t="s">
        <v>985</v>
      </c>
      <c r="H521" s="0" t="n">
        <v>1617</v>
      </c>
      <c r="I521" s="0" t="s">
        <v>989</v>
      </c>
      <c r="J521" s="0" t="s">
        <v>36</v>
      </c>
      <c r="K521" s="0" t="s">
        <v>36</v>
      </c>
      <c r="L521" s="0" t="s">
        <v>36</v>
      </c>
      <c r="P521" s="0" t="s">
        <v>984</v>
      </c>
      <c r="R521" s="0" t="s">
        <v>51</v>
      </c>
      <c r="S521" s="0" t="s">
        <v>38</v>
      </c>
      <c r="T521" s="0" t="n">
        <v>2</v>
      </c>
      <c r="U521" s="0" t="s">
        <v>987</v>
      </c>
      <c r="V521" s="0" t="s">
        <v>988</v>
      </c>
      <c r="Z521" s="0" t="str">
        <f aca="false">HYPERLINK("http://lutemusic.org/composers/Boesset/quelle_pointe_de_jalousie/quelle_pointe_de_jalousie_C_A-lute_T.ft3")</f>
        <v>http://lutemusic.org/composers/Boesset/quelle_pointe_de_jalousie/quelle_pointe_de_jalousie_C_A-lute_T.ft3</v>
      </c>
      <c r="AA521" s="0" t="str">
        <f aca="false">HYPERLINK("http://lutemusic.org/composers/Boesset/quelle_pointe_de_jalousie/pdf/quelle_pointe_de_jalousie_C_A-lute_T.pdf")</f>
        <v>http://lutemusic.org/composers/Boesset/quelle_pointe_de_jalousie/pdf/quelle_pointe_de_jalousie_C_A-lute_T.pdf</v>
      </c>
      <c r="AB521" s="0" t="str">
        <f aca="false">HYPERLINK("http://lutemusic.org/composers/Boesset/quelle_pointe_de_jalousie/midi/quelle_pointe_de_jalousie_C_A-lute_T.mid")</f>
        <v>http://lutemusic.org/composers/Boesset/quelle_pointe_de_jalousie/midi/quelle_pointe_de_jalousie_C_A-lute_T.mid</v>
      </c>
      <c r="AC521" s="0" t="n">
        <v>1573937408</v>
      </c>
      <c r="AD521" s="0" t="n">
        <v>1588451613</v>
      </c>
    </row>
    <row r="522" customFormat="false" ht="12.8" hidden="false" customHeight="false" outlineLevel="0" collapsed="false">
      <c r="A522" s="0" t="s">
        <v>984</v>
      </c>
      <c r="C522" s="0" t="s">
        <v>976</v>
      </c>
      <c r="E522" s="0" t="s">
        <v>976</v>
      </c>
      <c r="F522" s="0" t="s">
        <v>985</v>
      </c>
      <c r="H522" s="0" t="n">
        <v>1617</v>
      </c>
      <c r="I522" s="0" t="s">
        <v>986</v>
      </c>
      <c r="J522" s="0" t="s">
        <v>36</v>
      </c>
      <c r="K522" s="0" t="s">
        <v>36</v>
      </c>
      <c r="L522" s="0" t="s">
        <v>36</v>
      </c>
      <c r="P522" s="0" t="s">
        <v>984</v>
      </c>
      <c r="R522" s="0" t="s">
        <v>51</v>
      </c>
      <c r="S522" s="0" t="s">
        <v>38</v>
      </c>
      <c r="T522" s="0" t="n">
        <v>2</v>
      </c>
      <c r="U522" s="0" t="s">
        <v>990</v>
      </c>
      <c r="V522" s="0" t="s">
        <v>63</v>
      </c>
      <c r="Z522" s="0" t="str">
        <f aca="false">HYPERLINK("http://lutemusic.org/composers/Boesset/quelle_pointe_de_jalousie/quelle_pointe_de_jalousie_C_T.ft3")</f>
        <v>http://lutemusic.org/composers/Boesset/quelle_pointe_de_jalousie/quelle_pointe_de_jalousie_C_T.ft3</v>
      </c>
      <c r="AA522" s="0" t="str">
        <f aca="false">HYPERLINK("http://lutemusic.org/composers/Boesset/quelle_pointe_de_jalousie/pdf/quelle_pointe_de_jalousie_C_T.pdf")</f>
        <v>http://lutemusic.org/composers/Boesset/quelle_pointe_de_jalousie/pdf/quelle_pointe_de_jalousie_C_T.pdf</v>
      </c>
      <c r="AB522" s="0" t="str">
        <f aca="false">HYPERLINK("http://lutemusic.org/composers/Boesset/quelle_pointe_de_jalousie/midi/quelle_pointe_de_jalousie_C_T.mid")</f>
        <v>http://lutemusic.org/composers/Boesset/quelle_pointe_de_jalousie/midi/quelle_pointe_de_jalousie_C_T.mid</v>
      </c>
      <c r="AC522" s="0" t="n">
        <v>1573937408</v>
      </c>
      <c r="AD522" s="0" t="n">
        <v>1588451613</v>
      </c>
    </row>
    <row r="523" customFormat="false" ht="12.8" hidden="false" customHeight="false" outlineLevel="0" collapsed="false">
      <c r="A523" s="0" t="s">
        <v>991</v>
      </c>
      <c r="C523" s="0" t="s">
        <v>992</v>
      </c>
      <c r="E523" s="0" t="s">
        <v>33</v>
      </c>
      <c r="F523" s="0" t="s">
        <v>993</v>
      </c>
      <c r="H523" s="0" t="n">
        <v>1610</v>
      </c>
      <c r="J523" s="0" t="s">
        <v>36</v>
      </c>
      <c r="K523" s="0" t="s">
        <v>36</v>
      </c>
      <c r="P523" s="0" t="s">
        <v>991</v>
      </c>
      <c r="R523" s="0" t="s">
        <v>51</v>
      </c>
      <c r="S523" s="0" t="s">
        <v>62</v>
      </c>
      <c r="T523" s="0" t="n">
        <v>3</v>
      </c>
      <c r="U523" s="0" t="s">
        <v>620</v>
      </c>
      <c r="V523" s="0" t="s">
        <v>40</v>
      </c>
      <c r="Z523" s="0" t="str">
        <f aca="false">HYPERLINK("http://lutemusic.org/composers/Boleyn/o_death_rock_me_asleep.ft3")</f>
        <v>http://lutemusic.org/composers/Boleyn/o_death_rock_me_asleep.ft3</v>
      </c>
      <c r="AA523" s="0" t="str">
        <f aca="false">HYPERLINK("http://lutemusic.org/composers/Boleyn/pdf/o_death_rock_me_asleep.pdf")</f>
        <v>http://lutemusic.org/composers/Boleyn/pdf/o_death_rock_me_asleep.pdf</v>
      </c>
      <c r="AB523" s="0" t="str">
        <f aca="false">HYPERLINK("http://lutemusic.org/composers/Boleyn/midi/o_death_rock_me_asleep.mid")</f>
        <v>http://lutemusic.org/composers/Boleyn/midi/o_death_rock_me_asleep.mid</v>
      </c>
      <c r="AC523" s="0" t="n">
        <v>1573937408</v>
      </c>
      <c r="AD523" s="0" t="n">
        <v>1586042063</v>
      </c>
    </row>
    <row r="524" customFormat="false" ht="12.8" hidden="false" customHeight="false" outlineLevel="0" collapsed="false">
      <c r="A524" s="0" t="s">
        <v>991</v>
      </c>
      <c r="C524" s="0" t="s">
        <v>992</v>
      </c>
      <c r="E524" s="0" t="s">
        <v>33</v>
      </c>
      <c r="F524" s="0" t="s">
        <v>993</v>
      </c>
      <c r="H524" s="0" t="n">
        <v>1610</v>
      </c>
      <c r="J524" s="0" t="s">
        <v>36</v>
      </c>
      <c r="K524" s="0" t="s">
        <v>36</v>
      </c>
      <c r="P524" s="0" t="s">
        <v>991</v>
      </c>
      <c r="R524" s="0" t="s">
        <v>51</v>
      </c>
      <c r="S524" s="0" t="s">
        <v>62</v>
      </c>
      <c r="T524" s="0" t="n">
        <v>3</v>
      </c>
      <c r="U524" s="0" t="s">
        <v>620</v>
      </c>
      <c r="V524" s="0" t="s">
        <v>40</v>
      </c>
      <c r="Z524" s="0" t="str">
        <f aca="false">HYPERLINK("http://lutemusic.org/composers/Boleyn/o_death_rock_me_asleep_mens.ft3")</f>
        <v>http://lutemusic.org/composers/Boleyn/o_death_rock_me_asleep_mens.ft3</v>
      </c>
      <c r="AA524" s="0" t="str">
        <f aca="false">HYPERLINK("http://lutemusic.org/composers/Boleyn/pdf/o_death_rock_me_asleep_mens.pdf")</f>
        <v>http://lutemusic.org/composers/Boleyn/pdf/o_death_rock_me_asleep_mens.pdf</v>
      </c>
      <c r="AB524" s="0" t="str">
        <f aca="false">HYPERLINK("http://lutemusic.org/composers/Boleyn/midi/o_death_rock_me_asleep_mens.mid")</f>
        <v>http://lutemusic.org/composers/Boleyn/midi/o_death_rock_me_asleep_mens.mid</v>
      </c>
      <c r="AC524" s="0" t="n">
        <v>1573937408</v>
      </c>
      <c r="AD524" s="0" t="n">
        <v>1586042063</v>
      </c>
    </row>
    <row r="525" customFormat="false" ht="12.8" hidden="false" customHeight="false" outlineLevel="0" collapsed="false">
      <c r="A525" s="0" t="s">
        <v>991</v>
      </c>
      <c r="C525" s="0" t="s">
        <v>992</v>
      </c>
      <c r="E525" s="0" t="s">
        <v>33</v>
      </c>
      <c r="F525" s="0" t="s">
        <v>993</v>
      </c>
      <c r="H525" s="0" t="n">
        <v>1610</v>
      </c>
      <c r="J525" s="0" t="s">
        <v>36</v>
      </c>
      <c r="K525" s="0" t="s">
        <v>36</v>
      </c>
      <c r="P525" s="0" t="s">
        <v>991</v>
      </c>
      <c r="R525" s="0" t="s">
        <v>51</v>
      </c>
      <c r="S525" s="0" t="s">
        <v>62</v>
      </c>
      <c r="T525" s="0" t="n">
        <v>3</v>
      </c>
      <c r="U525" s="0" t="s">
        <v>620</v>
      </c>
      <c r="V525" s="0" t="s">
        <v>40</v>
      </c>
      <c r="Z525" s="0" t="str">
        <f aca="false">HYPERLINK("http://lutemusic.org/composers/Boleyn/o_death_rock_me_asleep_T.ft3")</f>
        <v>http://lutemusic.org/composers/Boleyn/o_death_rock_me_asleep_T.ft3</v>
      </c>
      <c r="AA525" s="0" t="str">
        <f aca="false">HYPERLINK("http://lutemusic.org/composers/Boleyn/pdf/o_death_rock_me_asleep_T.pdf")</f>
        <v>http://lutemusic.org/composers/Boleyn/pdf/o_death_rock_me_asleep_T.pdf</v>
      </c>
      <c r="AB525" s="0" t="str">
        <f aca="false">HYPERLINK("http://lutemusic.org/composers/Boleyn/midi/o_death_rock_me_asleep_T.mid")</f>
        <v>http://lutemusic.org/composers/Boleyn/midi/o_death_rock_me_asleep_T.mid</v>
      </c>
      <c r="AC525" s="0" t="n">
        <v>1573937408</v>
      </c>
      <c r="AD525" s="0" t="n">
        <v>1586042063</v>
      </c>
    </row>
    <row r="526" customFormat="false" ht="12.8" hidden="false" customHeight="false" outlineLevel="0" collapsed="false">
      <c r="A526" s="0" t="s">
        <v>994</v>
      </c>
      <c r="C526" s="0" t="s">
        <v>995</v>
      </c>
      <c r="E526" s="0" t="s">
        <v>995</v>
      </c>
      <c r="F526" s="0" t="s">
        <v>996</v>
      </c>
      <c r="H526" s="0" t="n">
        <v>1548</v>
      </c>
      <c r="I526" s="0" t="s">
        <v>997</v>
      </c>
      <c r="J526" s="0" t="s">
        <v>36</v>
      </c>
      <c r="K526" s="0" t="s">
        <v>36</v>
      </c>
      <c r="P526" s="0" t="s">
        <v>994</v>
      </c>
      <c r="R526" s="0" t="s">
        <v>83</v>
      </c>
      <c r="S526" s="0" t="s">
        <v>119</v>
      </c>
      <c r="T526" s="0" t="n">
        <v>2</v>
      </c>
      <c r="U526" s="0" t="s">
        <v>63</v>
      </c>
      <c r="Z526" s="0" t="str">
        <f aca="false">HYPERLINK("http://lutemusic.org/composers/Borrono/a_l_aventure.ft3")</f>
        <v>http://lutemusic.org/composers/Borrono/a_l_aventure.ft3</v>
      </c>
      <c r="AA526" s="0" t="str">
        <f aca="false">HYPERLINK("http://lutemusic.org/composers/Borrono/pdf/a_l_aventure.pdf")</f>
        <v>http://lutemusic.org/composers/Borrono/pdf/a_l_aventure.pdf</v>
      </c>
      <c r="AB526" s="0" t="str">
        <f aca="false">HYPERLINK("http://lutemusic.org/composers/Borrono/midi/a_l_aventure.mid")</f>
        <v>http://lutemusic.org/composers/Borrono/midi/a_l_aventure.mid</v>
      </c>
      <c r="AC526" s="0" t="n">
        <v>1573937408</v>
      </c>
      <c r="AD526" s="0" t="n">
        <v>1588468779</v>
      </c>
    </row>
    <row r="527" customFormat="false" ht="12.8" hidden="false" customHeight="false" outlineLevel="0" collapsed="false">
      <c r="A527" s="0" t="s">
        <v>998</v>
      </c>
      <c r="C527" s="0" t="s">
        <v>995</v>
      </c>
      <c r="E527" s="0" t="s">
        <v>995</v>
      </c>
      <c r="F527" s="0" t="s">
        <v>999</v>
      </c>
      <c r="H527" s="0" t="n">
        <v>1548</v>
      </c>
      <c r="I527" s="0" t="s">
        <v>1000</v>
      </c>
      <c r="J527" s="0" t="s">
        <v>36</v>
      </c>
      <c r="K527" s="0" t="s">
        <v>59</v>
      </c>
      <c r="P527" s="0" t="s">
        <v>998</v>
      </c>
      <c r="R527" s="0" t="s">
        <v>83</v>
      </c>
      <c r="S527" s="0" t="s">
        <v>49</v>
      </c>
      <c r="T527" s="0" t="n">
        <v>2</v>
      </c>
      <c r="U527" s="0" t="s">
        <v>63</v>
      </c>
      <c r="Z527" s="0" t="str">
        <f aca="false">HYPERLINK("http://lutemusic.org/composers/Borrono/bonjour_mamie.ft3")</f>
        <v>http://lutemusic.org/composers/Borrono/bonjour_mamie.ft3</v>
      </c>
      <c r="AA527" s="0" t="str">
        <f aca="false">HYPERLINK("http://lutemusic.org/composers/Borrono/pdf/bonjour_mamie.pdf")</f>
        <v>http://lutemusic.org/composers/Borrono/pdf/bonjour_mamie.pdf</v>
      </c>
      <c r="AB527" s="0" t="str">
        <f aca="false">HYPERLINK("http://lutemusic.org/composers/Borrono/midi/bonjour_mamie.mid")</f>
        <v>http://lutemusic.org/composers/Borrono/midi/bonjour_mamie.mid</v>
      </c>
      <c r="AC527" s="0" t="n">
        <v>1573937408</v>
      </c>
      <c r="AD527" s="0" t="n">
        <v>1586042063</v>
      </c>
    </row>
    <row r="528" customFormat="false" ht="12.8" hidden="false" customHeight="false" outlineLevel="0" collapsed="false">
      <c r="A528" s="0" t="s">
        <v>1001</v>
      </c>
      <c r="C528" s="0" t="s">
        <v>995</v>
      </c>
      <c r="E528" s="0" t="s">
        <v>995</v>
      </c>
      <c r="F528" s="0" t="s">
        <v>999</v>
      </c>
      <c r="H528" s="0" t="n">
        <v>1548</v>
      </c>
      <c r="I528" s="0" t="s">
        <v>1002</v>
      </c>
      <c r="J528" s="0" t="s">
        <v>36</v>
      </c>
      <c r="K528" s="0" t="s">
        <v>59</v>
      </c>
      <c r="P528" s="0" t="s">
        <v>1001</v>
      </c>
      <c r="R528" s="0" t="s">
        <v>61</v>
      </c>
      <c r="S528" s="0" t="s">
        <v>175</v>
      </c>
      <c r="T528" s="0" t="n">
        <v>3</v>
      </c>
      <c r="U528" s="0" t="s">
        <v>63</v>
      </c>
      <c r="Z528" s="0" t="str">
        <f aca="false">HYPERLINK("http://lutemusic.org/composers/Borrono/fantasia_13.ft3")</f>
        <v>http://lutemusic.org/composers/Borrono/fantasia_13.ft3</v>
      </c>
      <c r="AA528" s="0" t="str">
        <f aca="false">HYPERLINK("http://lutemusic.org/composers/Borrono/pdf/fantasia_13.pdf")</f>
        <v>http://lutemusic.org/composers/Borrono/pdf/fantasia_13.pdf</v>
      </c>
      <c r="AB528" s="0" t="str">
        <f aca="false">HYPERLINK("http://lutemusic.org/composers/Borrono/midi/fantasia_13.mid")</f>
        <v>http://lutemusic.org/composers/Borrono/midi/fantasia_13.mid</v>
      </c>
      <c r="AC528" s="0" t="n">
        <v>1573937408</v>
      </c>
      <c r="AD528" s="0" t="n">
        <v>1588451613</v>
      </c>
    </row>
    <row r="529" customFormat="false" ht="12.8" hidden="false" customHeight="false" outlineLevel="0" collapsed="false">
      <c r="A529" s="0" t="s">
        <v>1003</v>
      </c>
      <c r="C529" s="0" t="s">
        <v>995</v>
      </c>
      <c r="E529" s="0" t="s">
        <v>995</v>
      </c>
      <c r="F529" s="0" t="s">
        <v>999</v>
      </c>
      <c r="H529" s="0" t="n">
        <v>1548</v>
      </c>
      <c r="I529" s="0" t="s">
        <v>453</v>
      </c>
      <c r="J529" s="0" t="s">
        <v>36</v>
      </c>
      <c r="K529" s="0" t="s">
        <v>59</v>
      </c>
      <c r="P529" s="0" t="s">
        <v>1003</v>
      </c>
      <c r="R529" s="0" t="s">
        <v>83</v>
      </c>
      <c r="S529" s="0" t="s">
        <v>119</v>
      </c>
      <c r="T529" s="0" t="n">
        <v>2</v>
      </c>
      <c r="U529" s="0" t="s">
        <v>63</v>
      </c>
      <c r="Z529" s="0" t="str">
        <f aca="false">HYPERLINK("http://lutemusic.org/composers/Borrono/gemi_mon_coeur.ft3")</f>
        <v>http://lutemusic.org/composers/Borrono/gemi_mon_coeur.ft3</v>
      </c>
      <c r="AA529" s="0" t="str">
        <f aca="false">HYPERLINK("http://lutemusic.org/composers/Borrono/pdf/gemi_mon_coeur.pdf")</f>
        <v>http://lutemusic.org/composers/Borrono/pdf/gemi_mon_coeur.pdf</v>
      </c>
      <c r="AB529" s="0" t="str">
        <f aca="false">HYPERLINK("http://lutemusic.org/composers/Borrono/midi/gemi_mon_coeur.mid")</f>
        <v>http://lutemusic.org/composers/Borrono/midi/gemi_mon_coeur.mid</v>
      </c>
      <c r="AC529" s="0" t="n">
        <v>1573937408</v>
      </c>
      <c r="AD529" s="0" t="n">
        <v>1586042063</v>
      </c>
    </row>
    <row r="530" customFormat="false" ht="12.8" hidden="false" customHeight="false" outlineLevel="0" collapsed="false">
      <c r="A530" s="0" t="s">
        <v>1004</v>
      </c>
      <c r="B530" s="0" t="s">
        <v>1005</v>
      </c>
      <c r="C530" s="0" t="s">
        <v>330</v>
      </c>
      <c r="E530" s="0" t="s">
        <v>330</v>
      </c>
      <c r="F530" s="0" t="s">
        <v>1006</v>
      </c>
      <c r="H530" s="0" t="n">
        <v>1547</v>
      </c>
      <c r="I530" s="0" t="s">
        <v>1007</v>
      </c>
      <c r="J530" s="0" t="s">
        <v>36</v>
      </c>
      <c r="K530" s="0" t="s">
        <v>36</v>
      </c>
      <c r="P530" s="0" t="s">
        <v>1004</v>
      </c>
      <c r="R530" s="0" t="s">
        <v>922</v>
      </c>
      <c r="S530" s="0" t="s">
        <v>175</v>
      </c>
      <c r="T530" s="0" t="n">
        <v>3</v>
      </c>
      <c r="U530" s="0" t="s">
        <v>63</v>
      </c>
      <c r="Z530" s="0" t="str">
        <f aca="false">HYPERLINK("http://lutemusic.org/composers/Borrono/hierusalem.ft3")</f>
        <v>http://lutemusic.org/composers/Borrono/hierusalem.ft3</v>
      </c>
      <c r="AA530" s="0" t="str">
        <f aca="false">HYPERLINK("http://lutemusic.org/composers/Borrono/pdf/hierusalem.pdf")</f>
        <v>http://lutemusic.org/composers/Borrono/pdf/hierusalem.pdf</v>
      </c>
      <c r="AB530" s="0" t="str">
        <f aca="false">HYPERLINK("http://lutemusic.org/composers/Borrono/midi/hierusalem.mid")</f>
        <v>http://lutemusic.org/composers/Borrono/midi/hierusalem.mid</v>
      </c>
      <c r="AC530" s="0" t="n">
        <v>1573937408</v>
      </c>
      <c r="AD530" s="0" t="n">
        <v>1586042063</v>
      </c>
    </row>
    <row r="531" customFormat="false" ht="12.8" hidden="false" customHeight="false" outlineLevel="0" collapsed="false">
      <c r="A531" s="0" t="s">
        <v>337</v>
      </c>
      <c r="B531" s="0" t="s">
        <v>1008</v>
      </c>
      <c r="C531" s="0" t="s">
        <v>995</v>
      </c>
      <c r="E531" s="0" t="s">
        <v>995</v>
      </c>
      <c r="F531" s="0" t="s">
        <v>999</v>
      </c>
      <c r="H531" s="0" t="n">
        <v>1548</v>
      </c>
      <c r="I531" s="0" t="s">
        <v>898</v>
      </c>
      <c r="J531" s="0" t="s">
        <v>36</v>
      </c>
      <c r="K531" s="0" t="s">
        <v>59</v>
      </c>
      <c r="P531" s="0" t="s">
        <v>337</v>
      </c>
      <c r="R531" s="0" t="s">
        <v>77</v>
      </c>
      <c r="S531" s="0" t="s">
        <v>38</v>
      </c>
      <c r="T531" s="0" t="n">
        <v>2</v>
      </c>
      <c r="U531" s="0" t="s">
        <v>63</v>
      </c>
      <c r="Z531" s="0" t="str">
        <f aca="false">HYPERLINK("http://lutemusic.org/composers/Borrono/lacrimosa.ft3")</f>
        <v>http://lutemusic.org/composers/Borrono/lacrimosa.ft3</v>
      </c>
      <c r="AA531" s="0" t="str">
        <f aca="false">HYPERLINK("http://lutemusic.org/composers/Borrono/pdf/lacrimosa.pdf")</f>
        <v>http://lutemusic.org/composers/Borrono/pdf/lacrimosa.pdf</v>
      </c>
      <c r="AB531" s="0" t="str">
        <f aca="false">HYPERLINK("http://lutemusic.org/composers/Borrono/midi/lacrimosa.mid")</f>
        <v>http://lutemusic.org/composers/Borrono/midi/lacrimosa.mid</v>
      </c>
      <c r="AC531" s="0" t="n">
        <v>1573937408</v>
      </c>
      <c r="AD531" s="0" t="n">
        <v>1586042063</v>
      </c>
    </row>
    <row r="532" customFormat="false" ht="12.8" hidden="false" customHeight="false" outlineLevel="0" collapsed="false">
      <c r="A532" s="0" t="s">
        <v>368</v>
      </c>
      <c r="B532" s="0" t="s">
        <v>1009</v>
      </c>
      <c r="C532" s="0" t="s">
        <v>995</v>
      </c>
      <c r="E532" s="0" t="s">
        <v>995</v>
      </c>
      <c r="F532" s="0" t="s">
        <v>999</v>
      </c>
      <c r="H532" s="0" t="n">
        <v>1548</v>
      </c>
      <c r="I532" s="0" t="s">
        <v>1010</v>
      </c>
      <c r="J532" s="0" t="s">
        <v>36</v>
      </c>
      <c r="K532" s="0" t="s">
        <v>59</v>
      </c>
      <c r="P532" s="0" t="s">
        <v>1009</v>
      </c>
      <c r="R532" s="0" t="s">
        <v>77</v>
      </c>
      <c r="S532" s="0" t="s">
        <v>84</v>
      </c>
      <c r="T532" s="0" t="n">
        <v>3</v>
      </c>
      <c r="U532" s="0" t="s">
        <v>63</v>
      </c>
      <c r="Z532" s="0" t="str">
        <f aca="false">HYPERLINK("http://lutemusic.org/composers/Borrono/la_bella_bianca.ft3")</f>
        <v>http://lutemusic.org/composers/Borrono/la_bella_bianca.ft3</v>
      </c>
      <c r="AA532" s="0" t="str">
        <f aca="false">HYPERLINK("http://lutemusic.org/composers/Borrono/pdf/la_bella_bianca.pdf")</f>
        <v>http://lutemusic.org/composers/Borrono/pdf/la_bella_bianca.pdf</v>
      </c>
      <c r="AB532" s="0" t="str">
        <f aca="false">HYPERLINK("http://lutemusic.org/composers/Borrono/midi/la_bella_bianca.mid")</f>
        <v>http://lutemusic.org/composers/Borrono/midi/la_bella_bianca.mid</v>
      </c>
      <c r="AC532" s="0" t="n">
        <v>1573937408</v>
      </c>
      <c r="AD532" s="0" t="n">
        <v>1586042063</v>
      </c>
    </row>
    <row r="533" customFormat="false" ht="12.8" hidden="false" customHeight="false" outlineLevel="0" collapsed="false">
      <c r="A533" s="0" t="s">
        <v>337</v>
      </c>
      <c r="B533" s="0" t="s">
        <v>1011</v>
      </c>
      <c r="C533" s="0" t="s">
        <v>995</v>
      </c>
      <c r="E533" s="0" t="s">
        <v>995</v>
      </c>
      <c r="F533" s="0" t="s">
        <v>999</v>
      </c>
      <c r="H533" s="0" t="n">
        <v>1548</v>
      </c>
      <c r="I533" s="0" t="s">
        <v>918</v>
      </c>
      <c r="J533" s="0" t="s">
        <v>36</v>
      </c>
      <c r="K533" s="0" t="s">
        <v>59</v>
      </c>
      <c r="P533" s="0" t="s">
        <v>337</v>
      </c>
      <c r="R533" s="0" t="s">
        <v>77</v>
      </c>
      <c r="S533" s="0" t="s">
        <v>175</v>
      </c>
      <c r="T533" s="0" t="n">
        <v>3</v>
      </c>
      <c r="U533" s="0" t="s">
        <v>63</v>
      </c>
      <c r="Z533" s="0" t="str">
        <f aca="false">HYPERLINK("http://lutemusic.org/composers/Borrono/lucretia.ft3")</f>
        <v>http://lutemusic.org/composers/Borrono/lucretia.ft3</v>
      </c>
      <c r="AA533" s="0" t="str">
        <f aca="false">HYPERLINK("http://lutemusic.org/composers/Borrono/pdf/lucretia.pdf")</f>
        <v>http://lutemusic.org/composers/Borrono/pdf/lucretia.pdf</v>
      </c>
      <c r="AB533" s="0" t="str">
        <f aca="false">HYPERLINK("http://lutemusic.org/composers/Borrono/midi/lucretia.mid")</f>
        <v>http://lutemusic.org/composers/Borrono/midi/lucretia.mid</v>
      </c>
      <c r="AC533" s="0" t="n">
        <v>1573937408</v>
      </c>
      <c r="AD533" s="0" t="n">
        <v>1586042063</v>
      </c>
    </row>
    <row r="534" customFormat="false" ht="12.8" hidden="false" customHeight="false" outlineLevel="0" collapsed="false">
      <c r="A534" s="0" t="s">
        <v>1012</v>
      </c>
      <c r="C534" s="0" t="s">
        <v>995</v>
      </c>
      <c r="E534" s="0" t="s">
        <v>995</v>
      </c>
      <c r="F534" s="0" t="s">
        <v>999</v>
      </c>
      <c r="H534" s="0" t="n">
        <v>1548</v>
      </c>
      <c r="I534" s="0" t="s">
        <v>1013</v>
      </c>
      <c r="J534" s="0" t="s">
        <v>36</v>
      </c>
      <c r="K534" s="0" t="s">
        <v>59</v>
      </c>
      <c r="P534" s="0" t="s">
        <v>1012</v>
      </c>
      <c r="R534" s="0" t="s">
        <v>83</v>
      </c>
      <c r="S534" s="0" t="s">
        <v>84</v>
      </c>
      <c r="T534" s="0" t="n">
        <v>2</v>
      </c>
      <c r="U534" s="0" t="s">
        <v>63</v>
      </c>
      <c r="Z534" s="0" t="str">
        <f aca="false">HYPERLINK("http://lutemusic.org/composers/Borrono/mala_senea.ft3")</f>
        <v>http://lutemusic.org/composers/Borrono/mala_senea.ft3</v>
      </c>
      <c r="AA534" s="0" t="str">
        <f aca="false">HYPERLINK("http://lutemusic.org/composers/Borrono/pdf/mala_senea.pdf")</f>
        <v>http://lutemusic.org/composers/Borrono/pdf/mala_senea.pdf</v>
      </c>
      <c r="AB534" s="0" t="str">
        <f aca="false">HYPERLINK("http://lutemusic.org/composers/Borrono/midi/mala_senea.mid")</f>
        <v>http://lutemusic.org/composers/Borrono/midi/mala_senea.mid</v>
      </c>
      <c r="AC534" s="0" t="n">
        <v>1573937408</v>
      </c>
      <c r="AD534" s="0" t="n">
        <v>1586042063</v>
      </c>
    </row>
    <row r="535" customFormat="false" ht="12.8" hidden="false" customHeight="false" outlineLevel="0" collapsed="false">
      <c r="A535" s="0" t="s">
        <v>1014</v>
      </c>
      <c r="B535" s="0" t="s">
        <v>1015</v>
      </c>
      <c r="C535" s="0" t="s">
        <v>995</v>
      </c>
      <c r="D535" s="0" t="s">
        <v>1016</v>
      </c>
      <c r="E535" s="0" t="s">
        <v>995</v>
      </c>
      <c r="F535" s="0" t="s">
        <v>999</v>
      </c>
      <c r="H535" s="0" t="n">
        <v>1548</v>
      </c>
      <c r="I535" s="0" t="s">
        <v>1017</v>
      </c>
      <c r="J535" s="0" t="s">
        <v>36</v>
      </c>
      <c r="K535" s="0" t="s">
        <v>59</v>
      </c>
      <c r="P535" s="0" t="s">
        <v>1014</v>
      </c>
      <c r="R535" s="0" t="s">
        <v>922</v>
      </c>
      <c r="S535" s="0" t="s">
        <v>338</v>
      </c>
      <c r="T535" s="0" t="n">
        <v>3</v>
      </c>
      <c r="U535" s="0" t="s">
        <v>63</v>
      </c>
      <c r="Z535" s="0" t="str">
        <f aca="false">HYPERLINK("http://lutemusic.org/composers/Borrono/noe_noe_noe.ft3")</f>
        <v>http://lutemusic.org/composers/Borrono/noe_noe_noe.ft3</v>
      </c>
      <c r="AA535" s="0" t="str">
        <f aca="false">HYPERLINK("http://lutemusic.org/composers/Borrono/pdf/noe_noe_noe.pdf")</f>
        <v>http://lutemusic.org/composers/Borrono/pdf/noe_noe_noe.pdf</v>
      </c>
      <c r="AB535" s="0" t="str">
        <f aca="false">HYPERLINK("http://lutemusic.org/composers/Borrono/midi/noe_noe_noe.mid")</f>
        <v>http://lutemusic.org/composers/Borrono/midi/noe_noe_noe.mid</v>
      </c>
      <c r="AC535" s="0" t="n">
        <v>1573937408</v>
      </c>
      <c r="AD535" s="0" t="n">
        <v>1586042063</v>
      </c>
    </row>
    <row r="536" customFormat="false" ht="12.8" hidden="false" customHeight="false" outlineLevel="0" collapsed="false">
      <c r="A536" s="0" t="s">
        <v>337</v>
      </c>
      <c r="B536" s="0" t="s">
        <v>1018</v>
      </c>
      <c r="C536" s="0" t="s">
        <v>995</v>
      </c>
      <c r="E536" s="0" t="s">
        <v>995</v>
      </c>
      <c r="F536" s="0" t="s">
        <v>1019</v>
      </c>
      <c r="H536" s="0" t="n">
        <v>1536</v>
      </c>
      <c r="I536" s="0" t="s">
        <v>1020</v>
      </c>
      <c r="J536" s="0" t="s">
        <v>36</v>
      </c>
      <c r="K536" s="0" t="s">
        <v>36</v>
      </c>
      <c r="P536" s="0" t="s">
        <v>337</v>
      </c>
      <c r="R536" s="0" t="s">
        <v>77</v>
      </c>
      <c r="S536" s="0" t="s">
        <v>84</v>
      </c>
      <c r="T536" s="0" t="n">
        <v>2</v>
      </c>
      <c r="U536" s="0" t="s">
        <v>63</v>
      </c>
      <c r="Z536" s="0" t="str">
        <f aca="false">HYPERLINK("http://lutemusic.org/composers/Borrono/pavana_la_milanesa.ft3")</f>
        <v>http://lutemusic.org/composers/Borrono/pavana_la_milanesa.ft3</v>
      </c>
      <c r="AA536" s="0" t="str">
        <f aca="false">HYPERLINK("http://lutemusic.org/composers/Borrono/pdf/pavana_la_milanesa.pdf")</f>
        <v>http://lutemusic.org/composers/Borrono/pdf/pavana_la_milanesa.pdf</v>
      </c>
      <c r="AB536" s="0" t="str">
        <f aca="false">HYPERLINK("http://lutemusic.org/composers/Borrono/midi/pavana_la_milanesa.mid")</f>
        <v>http://lutemusic.org/composers/Borrono/midi/pavana_la_milanesa.mid</v>
      </c>
      <c r="AC536" s="0" t="n">
        <v>1573937408</v>
      </c>
      <c r="AD536" s="0" t="n">
        <v>1586042063</v>
      </c>
    </row>
    <row r="537" customFormat="false" ht="12.8" hidden="false" customHeight="false" outlineLevel="0" collapsed="false">
      <c r="A537" s="0" t="s">
        <v>337</v>
      </c>
      <c r="B537" s="0" t="s">
        <v>1021</v>
      </c>
      <c r="C537" s="0" t="s">
        <v>995</v>
      </c>
      <c r="E537" s="0" t="s">
        <v>995</v>
      </c>
      <c r="F537" s="0" t="s">
        <v>1019</v>
      </c>
      <c r="H537" s="0" t="n">
        <v>1536</v>
      </c>
      <c r="I537" s="0" t="s">
        <v>1022</v>
      </c>
      <c r="J537" s="0" t="s">
        <v>36</v>
      </c>
      <c r="K537" s="0" t="s">
        <v>36</v>
      </c>
      <c r="P537" s="0" t="s">
        <v>337</v>
      </c>
      <c r="R537" s="0" t="s">
        <v>77</v>
      </c>
      <c r="S537" s="0" t="s">
        <v>326</v>
      </c>
      <c r="T537" s="0" t="n">
        <v>3</v>
      </c>
      <c r="U537" s="0" t="s">
        <v>63</v>
      </c>
      <c r="Z537" s="0" t="str">
        <f aca="false">HYPERLINK("http://lutemusic.org/composers/Borrono/pavana_monte_su_che_son.ft3")</f>
        <v>http://lutemusic.org/composers/Borrono/pavana_monte_su_che_son.ft3</v>
      </c>
      <c r="AA537" s="0" t="str">
        <f aca="false">HYPERLINK("http://lutemusic.org/composers/Borrono/pdf/pavana_monte_su_che_son.pdf")</f>
        <v>http://lutemusic.org/composers/Borrono/pdf/pavana_monte_su_che_son.pdf</v>
      </c>
      <c r="AB537" s="0" t="str">
        <f aca="false">HYPERLINK("http://lutemusic.org/composers/Borrono/midi/pavana_monte_su_che_son.mid")</f>
        <v>http://lutemusic.org/composers/Borrono/midi/pavana_monte_su_che_son.mid</v>
      </c>
      <c r="AC537" s="0" t="n">
        <v>1573937408</v>
      </c>
      <c r="AD537" s="0" t="n">
        <v>1586042063</v>
      </c>
    </row>
    <row r="538" customFormat="false" ht="12.8" hidden="false" customHeight="false" outlineLevel="0" collapsed="false">
      <c r="A538" s="0" t="s">
        <v>337</v>
      </c>
      <c r="B538" s="0" t="s">
        <v>1023</v>
      </c>
      <c r="C538" s="0" t="s">
        <v>995</v>
      </c>
      <c r="E538" s="0" t="s">
        <v>995</v>
      </c>
      <c r="F538" s="0" t="s">
        <v>996</v>
      </c>
      <c r="H538" s="0" t="n">
        <v>1548</v>
      </c>
      <c r="J538" s="0" t="s">
        <v>36</v>
      </c>
      <c r="K538" s="0" t="s">
        <v>36</v>
      </c>
      <c r="P538" s="0" t="s">
        <v>337</v>
      </c>
      <c r="R538" s="0" t="s">
        <v>77</v>
      </c>
      <c r="S538" s="0" t="s">
        <v>338</v>
      </c>
      <c r="T538" s="0" t="n">
        <v>3</v>
      </c>
      <c r="U538" s="0" t="s">
        <v>63</v>
      </c>
      <c r="Z538" s="0" t="str">
        <f aca="false">HYPERLINK("http://lutemusic.org/composers/Borrono/pavan_andronica.ft3")</f>
        <v>http://lutemusic.org/composers/Borrono/pavan_andronica.ft3</v>
      </c>
      <c r="AA538" s="0" t="str">
        <f aca="false">HYPERLINK("http://lutemusic.org/composers/Borrono/pdf/pavan_andronica.pdf")</f>
        <v>http://lutemusic.org/composers/Borrono/pdf/pavan_andronica.pdf</v>
      </c>
      <c r="AB538" s="0" t="str">
        <f aca="false">HYPERLINK("http://lutemusic.org/composers/Borrono/midi/pavan_andronica.mid")</f>
        <v>http://lutemusic.org/composers/Borrono/midi/pavan_andronica.mid</v>
      </c>
      <c r="AC538" s="0" t="n">
        <v>1573937408</v>
      </c>
      <c r="AD538" s="0" t="n">
        <v>1588468779</v>
      </c>
    </row>
    <row r="539" customFormat="false" ht="12.8" hidden="false" customHeight="false" outlineLevel="0" collapsed="false">
      <c r="A539" s="0" t="s">
        <v>1024</v>
      </c>
      <c r="C539" s="0" t="s">
        <v>995</v>
      </c>
      <c r="E539" s="0" t="s">
        <v>995</v>
      </c>
      <c r="F539" s="0" t="s">
        <v>999</v>
      </c>
      <c r="H539" s="0" t="n">
        <v>1548</v>
      </c>
      <c r="I539" s="0" t="s">
        <v>892</v>
      </c>
      <c r="J539" s="0" t="s">
        <v>36</v>
      </c>
      <c r="K539" s="0" t="s">
        <v>59</v>
      </c>
      <c r="P539" s="0" t="s">
        <v>1024</v>
      </c>
      <c r="R539" s="0" t="s">
        <v>268</v>
      </c>
      <c r="S539" s="0" t="s">
        <v>38</v>
      </c>
      <c r="T539" s="0" t="n">
        <v>3</v>
      </c>
      <c r="U539" s="0" t="s">
        <v>63</v>
      </c>
      <c r="Z539" s="0" t="str">
        <f aca="false">HYPERLINK("http://lutemusic.org/composers/Borrono/saltarello_secondo.ft3")</f>
        <v>http://lutemusic.org/composers/Borrono/saltarello_secondo.ft3</v>
      </c>
      <c r="AA539" s="0" t="str">
        <f aca="false">HYPERLINK("http://lutemusic.org/composers/Borrono/pdf/saltarello_secondo.pdf")</f>
        <v>http://lutemusic.org/composers/Borrono/pdf/saltarello_secondo.pdf</v>
      </c>
      <c r="AB539" s="0" t="str">
        <f aca="false">HYPERLINK("http://lutemusic.org/composers/Borrono/midi/saltarello_secondo.mid")</f>
        <v>http://lutemusic.org/composers/Borrono/midi/saltarello_secondo.mid</v>
      </c>
      <c r="AC539" s="0" t="n">
        <v>1573937408</v>
      </c>
      <c r="AD539" s="0" t="n">
        <v>1586042063</v>
      </c>
    </row>
    <row r="540" customFormat="false" ht="12.8" hidden="false" customHeight="false" outlineLevel="0" collapsed="false">
      <c r="A540" s="0" t="s">
        <v>1025</v>
      </c>
      <c r="C540" s="0" t="s">
        <v>1026</v>
      </c>
      <c r="E540" s="0" t="s">
        <v>1026</v>
      </c>
      <c r="F540" s="0" t="s">
        <v>69</v>
      </c>
      <c r="H540" s="0" t="n">
        <v>1671</v>
      </c>
      <c r="I540" s="0" t="s">
        <v>1027</v>
      </c>
      <c r="J540" s="0" t="s">
        <v>357</v>
      </c>
      <c r="K540" s="0" t="s">
        <v>357</v>
      </c>
      <c r="P540" s="0" t="s">
        <v>1025</v>
      </c>
      <c r="R540" s="0" t="s">
        <v>51</v>
      </c>
      <c r="S540" s="0" t="s">
        <v>38</v>
      </c>
      <c r="T540" s="0" t="n">
        <v>2</v>
      </c>
      <c r="U540" s="0" t="s">
        <v>1028</v>
      </c>
      <c r="V540" s="0" t="s">
        <v>40</v>
      </c>
      <c r="Z540" s="0" t="str">
        <f aca="false">HYPERLINK("http://lutemusic.org/composers/Braun/ave_maria_zart_10C_ren.ft3")</f>
        <v>http://lutemusic.org/composers/Braun/ave_maria_zart_10C_ren.ft3</v>
      </c>
      <c r="AA540" s="0" t="str">
        <f aca="false">HYPERLINK("http://lutemusic.org/composers/Braun/pdf/ave_maria_zart_10C_ren.pdf")</f>
        <v>http://lutemusic.org/composers/Braun/pdf/ave_maria_zart_10C_ren.pdf</v>
      </c>
      <c r="AB540" s="0" t="str">
        <f aca="false">HYPERLINK("http://lutemusic.org/composers/Braun/midi/ave_maria_zart_10C_ren.mid")</f>
        <v>http://lutemusic.org/composers/Braun/midi/ave_maria_zart_10C_ren.mid</v>
      </c>
      <c r="AC540" s="0" t="n">
        <v>1573937408</v>
      </c>
      <c r="AD540" s="0" t="n">
        <v>1586042063</v>
      </c>
    </row>
    <row r="541" customFormat="false" ht="12.8" hidden="false" customHeight="false" outlineLevel="0" collapsed="false">
      <c r="A541" s="0" t="s">
        <v>1025</v>
      </c>
      <c r="C541" s="0" t="s">
        <v>1026</v>
      </c>
      <c r="E541" s="0" t="s">
        <v>1026</v>
      </c>
      <c r="F541" s="0" t="s">
        <v>69</v>
      </c>
      <c r="H541" s="0" t="n">
        <v>1671</v>
      </c>
      <c r="I541" s="0" t="s">
        <v>1027</v>
      </c>
      <c r="J541" s="0" t="s">
        <v>357</v>
      </c>
      <c r="K541" s="0" t="s">
        <v>357</v>
      </c>
      <c r="P541" s="0" t="s">
        <v>1025</v>
      </c>
      <c r="R541" s="0" t="s">
        <v>51</v>
      </c>
      <c r="S541" s="0" t="s">
        <v>38</v>
      </c>
      <c r="T541" s="0" t="n">
        <v>3</v>
      </c>
      <c r="U541" s="0" t="s">
        <v>1028</v>
      </c>
      <c r="V541" s="0" t="s">
        <v>40</v>
      </c>
      <c r="Z541" s="0" t="str">
        <f aca="false">HYPERLINK("http://lutemusic.org/composers/Braun/ave_maria_zart_10C_ren_T.ft3")</f>
        <v>http://lutemusic.org/composers/Braun/ave_maria_zart_10C_ren_T.ft3</v>
      </c>
      <c r="AA541" s="0" t="str">
        <f aca="false">HYPERLINK("http://lutemusic.org/composers/Braun/pdf/ave_maria_zart_10C_ren_T.pdf")</f>
        <v>http://lutemusic.org/composers/Braun/pdf/ave_maria_zart_10C_ren_T.pdf</v>
      </c>
      <c r="AB541" s="0" t="str">
        <f aca="false">HYPERLINK("http://lutemusic.org/composers/Braun/midi/ave_maria_zart_10C_ren_T.mid")</f>
        <v>http://lutemusic.org/composers/Braun/midi/ave_maria_zart_10C_ren_T.mid</v>
      </c>
      <c r="AC541" s="0" t="n">
        <v>1573937408</v>
      </c>
      <c r="AD541" s="0" t="n">
        <v>1586042063</v>
      </c>
    </row>
    <row r="542" customFormat="false" ht="12.8" hidden="false" customHeight="false" outlineLevel="0" collapsed="false">
      <c r="A542" s="0" t="s">
        <v>1025</v>
      </c>
      <c r="C542" s="0" t="s">
        <v>1026</v>
      </c>
      <c r="E542" s="0" t="s">
        <v>1026</v>
      </c>
      <c r="F542" s="0" t="s">
        <v>69</v>
      </c>
      <c r="H542" s="0" t="n">
        <v>1671</v>
      </c>
      <c r="I542" s="0" t="s">
        <v>1027</v>
      </c>
      <c r="J542" s="0" t="s">
        <v>357</v>
      </c>
      <c r="K542" s="0" t="s">
        <v>357</v>
      </c>
      <c r="P542" s="0" t="s">
        <v>1025</v>
      </c>
      <c r="R542" s="0" t="s">
        <v>51</v>
      </c>
      <c r="S542" s="0" t="s">
        <v>38</v>
      </c>
      <c r="T542" s="0" t="n">
        <v>3</v>
      </c>
      <c r="U542" s="0" t="s">
        <v>1029</v>
      </c>
      <c r="V542" s="0" t="s">
        <v>40</v>
      </c>
      <c r="Z542" s="0" t="str">
        <f aca="false">HYPERLINK("http://lutemusic.org/composers/Braun/ave_maria_zart_baroque.ft3")</f>
        <v>http://lutemusic.org/composers/Braun/ave_maria_zart_baroque.ft3</v>
      </c>
      <c r="AA542" s="0" t="str">
        <f aca="false">HYPERLINK("http://lutemusic.org/composers/Braun/pdf/ave_maria_zart_baroque.pdf")</f>
        <v>http://lutemusic.org/composers/Braun/pdf/ave_maria_zart_baroque.pdf</v>
      </c>
      <c r="AB542" s="0" t="str">
        <f aca="false">HYPERLINK("http://lutemusic.org/composers/Braun/midi/ave_maria_zart_baroque.mid")</f>
        <v>http://lutemusic.org/composers/Braun/midi/ave_maria_zart_baroque.mid</v>
      </c>
      <c r="AC542" s="0" t="n">
        <v>1573937408</v>
      </c>
      <c r="AD542" s="0" t="n">
        <v>1586042063</v>
      </c>
    </row>
    <row r="543" customFormat="false" ht="12.8" hidden="false" customHeight="false" outlineLevel="0" collapsed="false">
      <c r="A543" s="0" t="s">
        <v>1025</v>
      </c>
      <c r="C543" s="0" t="s">
        <v>1026</v>
      </c>
      <c r="E543" s="0" t="s">
        <v>1026</v>
      </c>
      <c r="F543" s="0" t="s">
        <v>69</v>
      </c>
      <c r="H543" s="0" t="n">
        <v>1671</v>
      </c>
      <c r="I543" s="0" t="s">
        <v>1027</v>
      </c>
      <c r="J543" s="0" t="s">
        <v>357</v>
      </c>
      <c r="K543" s="0" t="s">
        <v>357</v>
      </c>
      <c r="P543" s="0" t="s">
        <v>1025</v>
      </c>
      <c r="R543" s="0" t="s">
        <v>51</v>
      </c>
      <c r="S543" s="0" t="s">
        <v>38</v>
      </c>
      <c r="T543" s="0" t="n">
        <v>3</v>
      </c>
      <c r="U543" s="0" t="s">
        <v>1029</v>
      </c>
      <c r="V543" s="0" t="s">
        <v>85</v>
      </c>
      <c r="Z543" s="0" t="str">
        <f aca="false">HYPERLINK("http://lutemusic.org/composers/Braun/ave_maria_zart_baroque_T.ft3")</f>
        <v>http://lutemusic.org/composers/Braun/ave_maria_zart_baroque_T.ft3</v>
      </c>
      <c r="AA543" s="0" t="str">
        <f aca="false">HYPERLINK("http://lutemusic.org/composers/Braun/pdf/ave_maria_zart_baroque_T.pdf")</f>
        <v>http://lutemusic.org/composers/Braun/pdf/ave_maria_zart_baroque_T.pdf</v>
      </c>
      <c r="AB543" s="0" t="str">
        <f aca="false">HYPERLINK("http://lutemusic.org/composers/Braun/midi/ave_maria_zart_baroque_T.mid")</f>
        <v>http://lutemusic.org/composers/Braun/midi/ave_maria_zart_baroque_T.mid</v>
      </c>
      <c r="AC543" s="0" t="n">
        <v>1573937408</v>
      </c>
      <c r="AD543" s="0" t="n">
        <v>1586042063</v>
      </c>
    </row>
    <row r="544" customFormat="false" ht="12.8" hidden="false" customHeight="false" outlineLevel="0" collapsed="false">
      <c r="A544" s="0" t="s">
        <v>337</v>
      </c>
      <c r="C544" s="0" t="s">
        <v>1030</v>
      </c>
      <c r="E544" s="0" t="s">
        <v>1031</v>
      </c>
      <c r="F544" s="0" t="s">
        <v>1032</v>
      </c>
      <c r="H544" s="0" t="n">
        <v>1575</v>
      </c>
      <c r="I544" s="0" t="s">
        <v>1033</v>
      </c>
      <c r="J544" s="0" t="s">
        <v>36</v>
      </c>
      <c r="K544" s="0" t="s">
        <v>36</v>
      </c>
      <c r="P544" s="0" t="s">
        <v>337</v>
      </c>
      <c r="R544" s="0" t="s">
        <v>77</v>
      </c>
      <c r="S544" s="0" t="s">
        <v>926</v>
      </c>
      <c r="T544" s="0" t="n">
        <v>5</v>
      </c>
      <c r="U544" s="0" t="s">
        <v>63</v>
      </c>
      <c r="Y544" s="0" t="str">
        <f aca="false">HYPERLINK("http://lutemusic.org/facsimiles/GB-NO_Nottingham_University_Library/Mi_Lm_16_Willoughby_lute_book_1575/10v.png")</f>
        <v>http://lutemusic.org/facsimiles/GB-NO_Nottingham_University_Library/Mi_Lm_16_Willoughby_lute_book_1575/10v.png</v>
      </c>
      <c r="Z544" s="0" t="str">
        <f aca="false">HYPERLINK("http://lutemusic.org/composers/Brewster/brewster_pavan.ft3")</f>
        <v>http://lutemusic.org/composers/Brewster/brewster_pavan.ft3</v>
      </c>
      <c r="AA544" s="0" t="str">
        <f aca="false">HYPERLINK("http://lutemusic.org/composers/Brewster/pdf/brewster_pavan.pdf")</f>
        <v>http://lutemusic.org/composers/Brewster/pdf/brewster_pavan.pdf</v>
      </c>
      <c r="AB544" s="0" t="str">
        <f aca="false">HYPERLINK("http://lutemusic.org/composers/Brewster/midi/brewster_pavan.mid")</f>
        <v>http://lutemusic.org/composers/Brewster/midi/brewster_pavan.mid</v>
      </c>
      <c r="AC544" s="0" t="n">
        <v>1573937408</v>
      </c>
      <c r="AD544" s="0" t="n">
        <v>1588468779</v>
      </c>
    </row>
    <row r="545" customFormat="false" ht="12.8" hidden="false" customHeight="false" outlineLevel="0" collapsed="false">
      <c r="A545" s="0" t="s">
        <v>1034</v>
      </c>
      <c r="C545" s="0" t="s">
        <v>1035</v>
      </c>
      <c r="E545" s="0" t="s">
        <v>1036</v>
      </c>
      <c r="F545" s="0" t="s">
        <v>1037</v>
      </c>
      <c r="H545" s="0" t="s">
        <v>1038</v>
      </c>
      <c r="I545" s="0" t="s">
        <v>1039</v>
      </c>
      <c r="J545" s="0" t="s">
        <v>36</v>
      </c>
      <c r="K545" s="0" t="s">
        <v>36</v>
      </c>
      <c r="P545" s="0" t="s">
        <v>1040</v>
      </c>
      <c r="R545" s="0" t="s">
        <v>77</v>
      </c>
      <c r="S545" s="0" t="s">
        <v>175</v>
      </c>
      <c r="T545" s="0" t="n">
        <v>5</v>
      </c>
      <c r="U545" s="0" t="s">
        <v>63</v>
      </c>
      <c r="Y545" s="0" t="str">
        <f aca="false">HYPERLINK("http://lutemusic.org/facsimiles/GB-Ge_Glasgow_University_Library/ms_r.d.43_Euing_lute_book_c.1610/47v.png")</f>
        <v>http://lutemusic.org/facsimiles/GB-Ge_Glasgow_University_Library/ms_r.d.43_Euing_lute_book_c.1610/47v.png</v>
      </c>
      <c r="Z545" s="0" t="str">
        <f aca="false">HYPERLINK("http://lutemusic.org/composers/Bulman/47v_pavane_bulman.ft3")</f>
        <v>http://lutemusic.org/composers/Bulman/47v_pavane_bulman.ft3</v>
      </c>
      <c r="AA545" s="0" t="str">
        <f aca="false">HYPERLINK("http://lutemusic.org/composers/Bulman/pdf/47v_pavane_bulman.pdf")</f>
        <v>http://lutemusic.org/composers/Bulman/pdf/47v_pavane_bulman.pdf</v>
      </c>
      <c r="AB545" s="0" t="str">
        <f aca="false">HYPERLINK("http://lutemusic.org/composers/Bulman/midi/47v_pavane_bulman.mid")</f>
        <v>http://lutemusic.org/composers/Bulman/midi/47v_pavane_bulman.mid</v>
      </c>
      <c r="AC545" s="0" t="n">
        <v>1573937408</v>
      </c>
      <c r="AD545" s="0" t="n">
        <v>1588630196</v>
      </c>
    </row>
    <row r="546" customFormat="false" ht="12.8" hidden="false" customHeight="false" outlineLevel="0" collapsed="false">
      <c r="A546" s="0" t="s">
        <v>1041</v>
      </c>
      <c r="C546" s="0" t="s">
        <v>1042</v>
      </c>
      <c r="E546" s="0" t="s">
        <v>364</v>
      </c>
      <c r="F546" s="0" t="s">
        <v>958</v>
      </c>
      <c r="H546" s="0" t="n">
        <v>1440</v>
      </c>
      <c r="I546" s="0" t="s">
        <v>262</v>
      </c>
      <c r="J546" s="0" t="s">
        <v>36</v>
      </c>
      <c r="K546" s="0" t="s">
        <v>432</v>
      </c>
      <c r="L546" s="0" t="s">
        <v>432</v>
      </c>
      <c r="P546" s="0" t="s">
        <v>1041</v>
      </c>
      <c r="R546" s="0" t="s">
        <v>51</v>
      </c>
      <c r="S546" s="0" t="s">
        <v>49</v>
      </c>
      <c r="T546" s="0" t="n">
        <v>2</v>
      </c>
      <c r="U546" s="0" t="s">
        <v>1043</v>
      </c>
      <c r="V546" s="0" t="s">
        <v>40</v>
      </c>
      <c r="Z546" s="0" t="str">
        <f aca="false">HYPERLINK("http://lutemusic.org/composers/Busnois/songs/fortune_desperata.ft3")</f>
        <v>http://lutemusic.org/composers/Busnois/songs/fortune_desperata.ft3</v>
      </c>
      <c r="AA546" s="0" t="str">
        <f aca="false">HYPERLINK("http://lutemusic.org/composers/Busnois/songs/pdf/fortune_desperata.pdf")</f>
        <v>http://lutemusic.org/composers/Busnois/songs/pdf/fortune_desperata.pdf</v>
      </c>
      <c r="AB546" s="0" t="str">
        <f aca="false">HYPERLINK("http://lutemusic.org/composers/Busnois/songs/midi/fortune_desperata.mid")</f>
        <v>http://lutemusic.org/composers/Busnois/songs/midi/fortune_desperata.mid</v>
      </c>
      <c r="AC546" s="0" t="n">
        <v>1573937408</v>
      </c>
      <c r="AD546" s="0" t="n">
        <v>1586042063</v>
      </c>
    </row>
    <row r="547" customFormat="false" ht="12.8" hidden="false" customHeight="false" outlineLevel="0" collapsed="false">
      <c r="A547" s="0" t="s">
        <v>1041</v>
      </c>
      <c r="C547" s="0" t="s">
        <v>1042</v>
      </c>
      <c r="E547" s="0" t="s">
        <v>364</v>
      </c>
      <c r="F547" s="0" t="s">
        <v>958</v>
      </c>
      <c r="H547" s="0" t="n">
        <v>1440</v>
      </c>
      <c r="I547" s="0" t="s">
        <v>262</v>
      </c>
      <c r="J547" s="0" t="s">
        <v>36</v>
      </c>
      <c r="K547" s="0" t="s">
        <v>432</v>
      </c>
      <c r="L547" s="0" t="s">
        <v>522</v>
      </c>
      <c r="P547" s="0" t="s">
        <v>1041</v>
      </c>
      <c r="R547" s="0" t="s">
        <v>51</v>
      </c>
      <c r="S547" s="0" t="s">
        <v>49</v>
      </c>
      <c r="T547" s="0" t="n">
        <v>2</v>
      </c>
      <c r="U547" s="0" t="s">
        <v>1043</v>
      </c>
      <c r="V547" s="0" t="s">
        <v>63</v>
      </c>
      <c r="Z547" s="0" t="str">
        <f aca="false">HYPERLINK("http://lutemusic.org/composers/Busnois/songs/fortune_desperata_T.ft3")</f>
        <v>http://lutemusic.org/composers/Busnois/songs/fortune_desperata_T.ft3</v>
      </c>
      <c r="AA547" s="0" t="str">
        <f aca="false">HYPERLINK("http://lutemusic.org/composers/Busnois/songs/pdf/fortune_desperata_T.pdf")</f>
        <v>http://lutemusic.org/composers/Busnois/songs/pdf/fortune_desperata_T.pdf</v>
      </c>
      <c r="AB547" s="0" t="str">
        <f aca="false">HYPERLINK("http://lutemusic.org/composers/Busnois/songs/midi/fortune_desperata_T.mid")</f>
        <v>http://lutemusic.org/composers/Busnois/songs/midi/fortune_desperata_T.mid</v>
      </c>
      <c r="AC547" s="0" t="n">
        <v>1573937408</v>
      </c>
      <c r="AD547" s="0" t="n">
        <v>1586042063</v>
      </c>
    </row>
    <row r="548" customFormat="false" ht="12.8" hidden="false" customHeight="false" outlineLevel="0" collapsed="false">
      <c r="A548" s="0" t="s">
        <v>1044</v>
      </c>
      <c r="C548" s="0" t="s">
        <v>1045</v>
      </c>
      <c r="E548" s="0" t="s">
        <v>1045</v>
      </c>
      <c r="F548" s="0" t="s">
        <v>1046</v>
      </c>
      <c r="H548" s="0" t="n">
        <v>1700</v>
      </c>
      <c r="J548" s="0" t="s">
        <v>36</v>
      </c>
      <c r="K548" s="0" t="s">
        <v>36</v>
      </c>
      <c r="L548" s="0" t="s">
        <v>36</v>
      </c>
      <c r="P548" s="0" t="s">
        <v>1044</v>
      </c>
      <c r="R548" s="0" t="s">
        <v>625</v>
      </c>
      <c r="S548" s="0" t="s">
        <v>1047</v>
      </c>
      <c r="T548" s="0" t="n">
        <v>4</v>
      </c>
      <c r="U548" s="0" t="s">
        <v>1048</v>
      </c>
      <c r="V548" s="0" t="s">
        <v>41</v>
      </c>
      <c r="Z548" s="0" t="str">
        <f aca="false">HYPERLINK("http://lutemusic.org/composers/Buxtehude/ich_bin_eine_blume_zu_saron/ich_bin_eine_blume_zu_saron_T.ft3")</f>
        <v>http://lutemusic.org/composers/Buxtehude/ich_bin_eine_blume_zu_saron/ich_bin_eine_blume_zu_saron_T.ft3</v>
      </c>
      <c r="AA548" s="0" t="str">
        <f aca="false">HYPERLINK("http://lutemusic.org/composers/Buxtehude/ich_bin_eine_blume_zu_saron/pdf/ich_bin_eine_blume_zu_saron_T.pdf")</f>
        <v>http://lutemusic.org/composers/Buxtehude/ich_bin_eine_blume_zu_saron/pdf/ich_bin_eine_blume_zu_saron_T.pdf</v>
      </c>
      <c r="AB548" s="0" t="str">
        <f aca="false">HYPERLINK("http://lutemusic.org/composers/Buxtehude/ich_bin_eine_blume_zu_saron/midi/ich_bin_eine_blume_zu_saron_T.mid")</f>
        <v>http://lutemusic.org/composers/Buxtehude/ich_bin_eine_blume_zu_saron/midi/ich_bin_eine_blume_zu_saron_T.mid</v>
      </c>
      <c r="AC548" s="0" t="n">
        <v>1573937408</v>
      </c>
      <c r="AD548" s="0" t="n">
        <v>1586042063</v>
      </c>
    </row>
    <row r="549" customFormat="false" ht="12.8" hidden="false" customHeight="false" outlineLevel="0" collapsed="false">
      <c r="A549" s="0" t="s">
        <v>1049</v>
      </c>
      <c r="C549" s="0" t="s">
        <v>1045</v>
      </c>
      <c r="E549" s="0" t="s">
        <v>1045</v>
      </c>
      <c r="F549" s="0" t="s">
        <v>1050</v>
      </c>
      <c r="H549" s="0" t="n">
        <v>1696</v>
      </c>
      <c r="J549" s="0" t="s">
        <v>36</v>
      </c>
      <c r="K549" s="0" t="s">
        <v>36</v>
      </c>
      <c r="L549" s="0" t="s">
        <v>36</v>
      </c>
      <c r="P549" s="0" t="s">
        <v>1049</v>
      </c>
      <c r="R549" s="0" t="s">
        <v>581</v>
      </c>
      <c r="S549" s="0" t="s">
        <v>49</v>
      </c>
      <c r="T549" s="0" t="n">
        <v>2</v>
      </c>
      <c r="U549" s="0" t="s">
        <v>1051</v>
      </c>
      <c r="V549" s="0" t="s">
        <v>41</v>
      </c>
      <c r="Z549" s="0" t="str">
        <f aca="false">HYPERLINK("http://lutemusic.org/composers/Buxtehude/mein_herz_ist_bereit/mein_herz_ist_bereit_T.ft3")</f>
        <v>http://lutemusic.org/composers/Buxtehude/mein_herz_ist_bereit/mein_herz_ist_bereit_T.ft3</v>
      </c>
      <c r="AA549" s="0" t="str">
        <f aca="false">HYPERLINK("http://lutemusic.org/composers/Buxtehude/mein_herz_ist_bereit/pdf/mein_herz_ist_bereit_T.pdf")</f>
        <v>http://lutemusic.org/composers/Buxtehude/mein_herz_ist_bereit/pdf/mein_herz_ist_bereit_T.pdf</v>
      </c>
      <c r="AB549" s="0" t="str">
        <f aca="false">HYPERLINK("http://lutemusic.org/composers/Buxtehude/mein_herz_ist_bereit/midi/mein_herz_ist_bereit_T.mid")</f>
        <v>http://lutemusic.org/composers/Buxtehude/mein_herz_ist_bereit/midi/mein_herz_ist_bereit_T.mid</v>
      </c>
      <c r="AC549" s="0" t="n">
        <v>1573937408</v>
      </c>
      <c r="AD549" s="0" t="n">
        <v>1586042063</v>
      </c>
    </row>
    <row r="550" customFormat="false" ht="12.8" hidden="false" customHeight="false" outlineLevel="0" collapsed="false">
      <c r="A550" s="0" t="s">
        <v>1049</v>
      </c>
      <c r="C550" s="0" t="s">
        <v>1045</v>
      </c>
      <c r="E550" s="0" t="s">
        <v>1045</v>
      </c>
      <c r="F550" s="0" t="s">
        <v>1050</v>
      </c>
      <c r="H550" s="0" t="n">
        <v>1696</v>
      </c>
      <c r="J550" s="0" t="s">
        <v>36</v>
      </c>
      <c r="K550" s="0" t="s">
        <v>36</v>
      </c>
      <c r="L550" s="0" t="s">
        <v>36</v>
      </c>
      <c r="P550" s="0" t="s">
        <v>1049</v>
      </c>
      <c r="R550" s="0" t="s">
        <v>581</v>
      </c>
      <c r="S550" s="0" t="s">
        <v>49</v>
      </c>
      <c r="T550" s="0" t="n">
        <v>2</v>
      </c>
      <c r="U550" s="0" t="s">
        <v>1051</v>
      </c>
      <c r="V550" s="0" t="s">
        <v>602</v>
      </c>
      <c r="Z550" s="0" t="str">
        <f aca="false">HYPERLINK("http://lutemusic.org/composers/Buxtehude/mein_herz_ist_bereit/mein_herz_ist_bereit_VT.ft3")</f>
        <v>http://lutemusic.org/composers/Buxtehude/mein_herz_ist_bereit/mein_herz_ist_bereit_VT.ft3</v>
      </c>
      <c r="AA550" s="0" t="str">
        <f aca="false">HYPERLINK("http://lutemusic.org/composers/Buxtehude/mein_herz_ist_bereit/pdf/mein_herz_ist_bereit_VT.pdf")</f>
        <v>http://lutemusic.org/composers/Buxtehude/mein_herz_ist_bereit/pdf/mein_herz_ist_bereit_VT.pdf</v>
      </c>
      <c r="AB550" s="0" t="str">
        <f aca="false">HYPERLINK("http://lutemusic.org/composers/Buxtehude/mein_herz_ist_bereit/midi/mein_herz_ist_bereit_VT.mid")</f>
        <v>http://lutemusic.org/composers/Buxtehude/mein_herz_ist_bereit/midi/mein_herz_ist_bereit_VT.mid</v>
      </c>
      <c r="AC550" s="0" t="n">
        <v>1573937408</v>
      </c>
      <c r="AD550" s="0" t="n">
        <v>1586042063</v>
      </c>
    </row>
    <row r="551" customFormat="false" ht="12.8" hidden="false" customHeight="false" outlineLevel="0" collapsed="false">
      <c r="A551" s="0" t="s">
        <v>1052</v>
      </c>
      <c r="C551" s="0" t="s">
        <v>448</v>
      </c>
      <c r="E551" s="0" t="s">
        <v>448</v>
      </c>
      <c r="F551" s="0" t="s">
        <v>1053</v>
      </c>
      <c r="H551" s="0" t="n">
        <v>1613</v>
      </c>
      <c r="I551" s="0" t="s">
        <v>1054</v>
      </c>
      <c r="J551" s="0" t="s">
        <v>36</v>
      </c>
      <c r="K551" s="0" t="s">
        <v>405</v>
      </c>
      <c r="L551" s="0" t="s">
        <v>405</v>
      </c>
      <c r="P551" s="0" t="s">
        <v>1052</v>
      </c>
      <c r="R551" s="0" t="s">
        <v>202</v>
      </c>
      <c r="S551" s="0" t="s">
        <v>480</v>
      </c>
      <c r="T551" s="0" t="n">
        <v>4</v>
      </c>
      <c r="U551" s="0" t="s">
        <v>143</v>
      </c>
      <c r="Z551" s="0" t="str">
        <f aca="false">HYPERLINK("http://lutemusic.org/composers/Byrd/earl_of_salisbury.ft3")</f>
        <v>http://lutemusic.org/composers/Byrd/earl_of_salisbury.ft3</v>
      </c>
      <c r="AA551" s="0" t="str">
        <f aca="false">HYPERLINK("http://lutemusic.org/composers/Byrd/pdf/earl_of_salisbury.pdf")</f>
        <v>http://lutemusic.org/composers/Byrd/pdf/earl_of_salisbury.pdf</v>
      </c>
      <c r="AB551" s="0" t="str">
        <f aca="false">HYPERLINK("http://lutemusic.org/composers/Byrd/midi/earl_of_salisbury.mid")</f>
        <v>http://lutemusic.org/composers/Byrd/midi/earl_of_salisbury.mid</v>
      </c>
      <c r="AC551" s="0" t="n">
        <v>1573937408</v>
      </c>
      <c r="AD551" s="0" t="n">
        <v>1586042063</v>
      </c>
    </row>
    <row r="552" customFormat="false" ht="12.8" hidden="false" customHeight="false" outlineLevel="0" collapsed="false">
      <c r="A552" s="0" t="s">
        <v>447</v>
      </c>
      <c r="C552" s="0" t="s">
        <v>448</v>
      </c>
      <c r="E552" s="0" t="s">
        <v>448</v>
      </c>
      <c r="F552" s="0" t="s">
        <v>1055</v>
      </c>
      <c r="H552" s="0" t="n">
        <v>1610</v>
      </c>
      <c r="I552" s="0" t="s">
        <v>1056</v>
      </c>
      <c r="J552" s="0" t="s">
        <v>36</v>
      </c>
      <c r="K552" s="0" t="s">
        <v>36</v>
      </c>
      <c r="L552" s="0" t="s">
        <v>36</v>
      </c>
      <c r="P552" s="0" t="s">
        <v>447</v>
      </c>
      <c r="R552" s="0" t="s">
        <v>83</v>
      </c>
      <c r="S552" s="0" t="s">
        <v>84</v>
      </c>
      <c r="T552" s="0" t="n">
        <v>2</v>
      </c>
      <c r="U552" s="0" t="s">
        <v>63</v>
      </c>
      <c r="Z552" s="0" t="str">
        <f aca="false">HYPERLINK("http://lutemusic.org/composers/Byrd/oh_mistress_mine_solo.ft3")</f>
        <v>http://lutemusic.org/composers/Byrd/oh_mistress_mine_solo.ft3</v>
      </c>
      <c r="AA552" s="0" t="str">
        <f aca="false">HYPERLINK("http://lutemusic.org/composers/Byrd/pdf/oh_mistress_mine_solo.pdf")</f>
        <v>http://lutemusic.org/composers/Byrd/pdf/oh_mistress_mine_solo.pdf</v>
      </c>
      <c r="AB552" s="0" t="str">
        <f aca="false">HYPERLINK("http://lutemusic.org/composers/Byrd/midi/oh_mistress_mine_solo.mid")</f>
        <v>http://lutemusic.org/composers/Byrd/midi/oh_mistress_mine_solo.mid</v>
      </c>
      <c r="AC552" s="0" t="n">
        <v>1573937408</v>
      </c>
      <c r="AD552" s="0" t="n">
        <v>1586042063</v>
      </c>
    </row>
    <row r="553" customFormat="false" ht="12.8" hidden="false" customHeight="false" outlineLevel="0" collapsed="false">
      <c r="A553" s="0" t="s">
        <v>1057</v>
      </c>
      <c r="C553" s="0" t="s">
        <v>1058</v>
      </c>
      <c r="E553" s="0" t="s">
        <v>74</v>
      </c>
      <c r="F553" s="0" t="s">
        <v>285</v>
      </c>
      <c r="H553" s="0" t="n">
        <v>1600</v>
      </c>
      <c r="I553" s="0" t="s">
        <v>439</v>
      </c>
      <c r="J553" s="0" t="s">
        <v>36</v>
      </c>
      <c r="K553" s="0" t="s">
        <v>36</v>
      </c>
      <c r="P553" s="0" t="s">
        <v>1057</v>
      </c>
      <c r="R553" s="0" t="s">
        <v>77</v>
      </c>
      <c r="S553" s="0" t="s">
        <v>49</v>
      </c>
      <c r="T553" s="0" t="n">
        <v>5</v>
      </c>
      <c r="U553" s="0" t="s">
        <v>53</v>
      </c>
      <c r="Y553" s="0" t="str">
        <f aca="false">HYPERLINK("http://lutemusic.org/facsimiles/GB-Cu_Cambridge_University_Library/Dd.9.33c_1600/12v.png")</f>
        <v>http://lutemusic.org/facsimiles/GB-Cu_Cambridge_University_Library/Dd.9.33c_1600/12v.png</v>
      </c>
      <c r="Z553" s="0" t="str">
        <f aca="false">HYPERLINK("http://lutemusic.org/composers/Byrd/pavana_bray.ft3")</f>
        <v>http://lutemusic.org/composers/Byrd/pavana_bray.ft3</v>
      </c>
      <c r="AA553" s="0" t="str">
        <f aca="false">HYPERLINK("http://lutemusic.org/composers/Byrd/pdf/pavana_bray.pdf")</f>
        <v>http://lutemusic.org/composers/Byrd/pdf/pavana_bray.pdf</v>
      </c>
      <c r="AB553" s="0" t="str">
        <f aca="false">HYPERLINK("http://lutemusic.org/composers/Byrd/midi/pavana_bray.mid")</f>
        <v>http://lutemusic.org/composers/Byrd/midi/pavana_bray.mid</v>
      </c>
      <c r="AC553" s="0" t="n">
        <v>1573937408</v>
      </c>
      <c r="AD553" s="0" t="n">
        <v>1586042063</v>
      </c>
    </row>
    <row r="554" customFormat="false" ht="12.8" hidden="false" customHeight="false" outlineLevel="0" collapsed="false">
      <c r="A554" s="0" t="s">
        <v>1059</v>
      </c>
      <c r="C554" s="0" t="s">
        <v>448</v>
      </c>
      <c r="E554" s="0" t="s">
        <v>33</v>
      </c>
      <c r="F554" s="0" t="s">
        <v>1060</v>
      </c>
      <c r="H554" s="0" t="n">
        <v>1620</v>
      </c>
      <c r="J554" s="0" t="s">
        <v>36</v>
      </c>
      <c r="K554" s="0" t="s">
        <v>36</v>
      </c>
      <c r="P554" s="0" t="s">
        <v>1059</v>
      </c>
      <c r="R554" s="0" t="s">
        <v>83</v>
      </c>
      <c r="S554" s="0" t="s">
        <v>62</v>
      </c>
      <c r="T554" s="0" t="n">
        <v>3</v>
      </c>
      <c r="U554" s="0" t="s">
        <v>143</v>
      </c>
      <c r="Z554" s="0" t="str">
        <f aca="false">HYPERLINK("http://lutemusic.org/composers/Byrd/christe_redemptor/christe_redemptor.ft3")</f>
        <v>http://lutemusic.org/composers/Byrd/christe_redemptor/christe_redemptor.ft3</v>
      </c>
      <c r="AA554" s="0" t="str">
        <f aca="false">HYPERLINK("http://lutemusic.org/composers/Byrd/christe_redemptor/pdf/christe_redemptor.pdf")</f>
        <v>http://lutemusic.org/composers/Byrd/christe_redemptor/pdf/christe_redemptor.pdf</v>
      </c>
      <c r="AB554" s="0" t="str">
        <f aca="false">HYPERLINK("http://lutemusic.org/composers/Byrd/christe_redemptor/midi/christe_redemptor.mid")</f>
        <v>http://lutemusic.org/composers/Byrd/christe_redemptor/midi/christe_redemptor.mid</v>
      </c>
      <c r="AC554" s="0" t="n">
        <v>1573937408</v>
      </c>
      <c r="AD554" s="0" t="n">
        <v>1586042063</v>
      </c>
    </row>
    <row r="555" customFormat="false" ht="12.8" hidden="false" customHeight="false" outlineLevel="0" collapsed="false">
      <c r="A555" s="0" t="s">
        <v>1061</v>
      </c>
      <c r="C555" s="0" t="s">
        <v>448</v>
      </c>
      <c r="E555" s="0" t="s">
        <v>448</v>
      </c>
      <c r="F555" s="0" t="s">
        <v>1062</v>
      </c>
      <c r="H555" s="0" t="n">
        <v>1611</v>
      </c>
      <c r="I555" s="0" t="s">
        <v>1063</v>
      </c>
      <c r="J555" s="0" t="s">
        <v>36</v>
      </c>
      <c r="K555" s="0" t="s">
        <v>36</v>
      </c>
      <c r="L555" s="0" t="s">
        <v>36</v>
      </c>
      <c r="P555" s="0" t="s">
        <v>1061</v>
      </c>
      <c r="R555" s="0" t="s">
        <v>61</v>
      </c>
      <c r="S555" s="0" t="s">
        <v>66</v>
      </c>
      <c r="T555" s="0" t="n">
        <v>3</v>
      </c>
      <c r="U555" s="0" t="s">
        <v>1064</v>
      </c>
      <c r="V555" s="0" t="s">
        <v>143</v>
      </c>
      <c r="Z555" s="0" t="str">
        <f aca="false">HYPERLINK("http://lutemusic.org/composers/Byrd/fantasia_a_4/fantasia_a_4_no_top.ft3")</f>
        <v>http://lutemusic.org/composers/Byrd/fantasia_a_4/fantasia_a_4_no_top.ft3</v>
      </c>
      <c r="AA555" s="0" t="str">
        <f aca="false">HYPERLINK("http://lutemusic.org/composers/Byrd/fantasia_a_4/pdf/fantasia_a_4_no_top.pdf")</f>
        <v>http://lutemusic.org/composers/Byrd/fantasia_a_4/pdf/fantasia_a_4_no_top.pdf</v>
      </c>
      <c r="AB555" s="0" t="str">
        <f aca="false">HYPERLINK("http://lutemusic.org/composers/Byrd/fantasia_a_4/midi/fantasia_a_4_no_top.mid")</f>
        <v>http://lutemusic.org/composers/Byrd/fantasia_a_4/midi/fantasia_a_4_no_top.mid</v>
      </c>
      <c r="AC555" s="0" t="n">
        <v>1573937408</v>
      </c>
      <c r="AD555" s="0" t="n">
        <v>1586042063</v>
      </c>
    </row>
    <row r="556" customFormat="false" ht="12.8" hidden="false" customHeight="false" outlineLevel="0" collapsed="false">
      <c r="A556" s="0" t="s">
        <v>1061</v>
      </c>
      <c r="C556" s="0" t="s">
        <v>448</v>
      </c>
      <c r="E556" s="0" t="s">
        <v>448</v>
      </c>
      <c r="F556" s="0" t="s">
        <v>1062</v>
      </c>
      <c r="H556" s="0" t="n">
        <v>1611</v>
      </c>
      <c r="I556" s="0" t="s">
        <v>1063</v>
      </c>
      <c r="J556" s="0" t="s">
        <v>36</v>
      </c>
      <c r="K556" s="0" t="s">
        <v>36</v>
      </c>
      <c r="L556" s="0" t="s">
        <v>36</v>
      </c>
      <c r="P556" s="0" t="s">
        <v>1061</v>
      </c>
      <c r="R556" s="0" t="s">
        <v>61</v>
      </c>
      <c r="S556" s="0" t="s">
        <v>66</v>
      </c>
      <c r="T556" s="0" t="n">
        <v>3</v>
      </c>
      <c r="U556" s="0" t="s">
        <v>1064</v>
      </c>
      <c r="V556" s="0" t="s">
        <v>143</v>
      </c>
      <c r="Z556" s="0" t="str">
        <f aca="false">HYPERLINK("http://lutemusic.org/composers/Byrd/fantasia_a_4/fantasia_a_4_no_top_P.ft3")</f>
        <v>http://lutemusic.org/composers/Byrd/fantasia_a_4/fantasia_a_4_no_top_P.ft3</v>
      </c>
      <c r="AA556" s="0" t="str">
        <f aca="false">HYPERLINK("http://lutemusic.org/composers/Byrd/fantasia_a_4/pdf/fantasia_a_4_no_top_P.pdf")</f>
        <v>http://lutemusic.org/composers/Byrd/fantasia_a_4/pdf/fantasia_a_4_no_top_P.pdf</v>
      </c>
      <c r="AB556" s="0" t="str">
        <f aca="false">HYPERLINK("http://lutemusic.org/composers/Byrd/fantasia_a_4/midi/fantasia_a_4_no_top_P.mid")</f>
        <v>http://lutemusic.org/composers/Byrd/fantasia_a_4/midi/fantasia_a_4_no_top_P.mid</v>
      </c>
      <c r="AC556" s="0" t="n">
        <v>1573937408</v>
      </c>
      <c r="AD556" s="0" t="n">
        <v>1586042063</v>
      </c>
    </row>
    <row r="557" customFormat="false" ht="12.8" hidden="false" customHeight="false" outlineLevel="0" collapsed="false">
      <c r="A557" s="0" t="s">
        <v>1061</v>
      </c>
      <c r="C557" s="0" t="s">
        <v>448</v>
      </c>
      <c r="E557" s="0" t="s">
        <v>448</v>
      </c>
      <c r="F557" s="0" t="s">
        <v>1062</v>
      </c>
      <c r="H557" s="0" t="n">
        <v>1611</v>
      </c>
      <c r="I557" s="0" t="s">
        <v>1063</v>
      </c>
      <c r="J557" s="0" t="s">
        <v>36</v>
      </c>
      <c r="K557" s="0" t="s">
        <v>36</v>
      </c>
      <c r="L557" s="0" t="s">
        <v>36</v>
      </c>
      <c r="P557" s="0" t="s">
        <v>1061</v>
      </c>
      <c r="R557" s="0" t="s">
        <v>61</v>
      </c>
      <c r="S557" s="0" t="s">
        <v>66</v>
      </c>
      <c r="T557" s="0" t="n">
        <v>3</v>
      </c>
      <c r="U557" s="0" t="s">
        <v>53</v>
      </c>
      <c r="Z557" s="0" t="str">
        <f aca="false">HYPERLINK("http://lutemusic.org/composers/Byrd/fantasia_a_4/fantasia_a_4_solo.ft3")</f>
        <v>http://lutemusic.org/composers/Byrd/fantasia_a_4/fantasia_a_4_solo.ft3</v>
      </c>
      <c r="AA557" s="0" t="str">
        <f aca="false">HYPERLINK("http://lutemusic.org/composers/Byrd/fantasia_a_4/pdf/fantasia_a_4_solo.pdf")</f>
        <v>http://lutemusic.org/composers/Byrd/fantasia_a_4/pdf/fantasia_a_4_solo.pdf</v>
      </c>
      <c r="AB557" s="0" t="str">
        <f aca="false">HYPERLINK("http://lutemusic.org/composers/Byrd/fantasia_a_4/midi/fantasia_a_4_solo.mid")</f>
        <v>http://lutemusic.org/composers/Byrd/fantasia_a_4/midi/fantasia_a_4_solo.mid</v>
      </c>
      <c r="AC557" s="0" t="n">
        <v>1573937408</v>
      </c>
      <c r="AD557" s="0" t="n">
        <v>1586042063</v>
      </c>
    </row>
    <row r="558" customFormat="false" ht="12.8" hidden="false" customHeight="false" outlineLevel="0" collapsed="false">
      <c r="A558" s="0" t="s">
        <v>1061</v>
      </c>
      <c r="C558" s="0" t="s">
        <v>448</v>
      </c>
      <c r="E558" s="0" t="s">
        <v>448</v>
      </c>
      <c r="F558" s="0" t="s">
        <v>1062</v>
      </c>
      <c r="H558" s="0" t="n">
        <v>1611</v>
      </c>
      <c r="I558" s="0" t="s">
        <v>1063</v>
      </c>
      <c r="J558" s="0" t="s">
        <v>36</v>
      </c>
      <c r="K558" s="0" t="s">
        <v>36</v>
      </c>
      <c r="L558" s="0" t="s">
        <v>36</v>
      </c>
      <c r="P558" s="0" t="s">
        <v>1061</v>
      </c>
      <c r="R558" s="0" t="s">
        <v>61</v>
      </c>
      <c r="S558" s="0" t="s">
        <v>66</v>
      </c>
      <c r="T558" s="0" t="n">
        <v>3</v>
      </c>
      <c r="U558" s="0" t="s">
        <v>1065</v>
      </c>
      <c r="V558" s="0" t="s">
        <v>40</v>
      </c>
      <c r="Z558" s="0" t="str">
        <f aca="false">HYPERLINK("http://lutemusic.org/composers/Byrd/fantasia_a_4/fantasia_a_4_with_top.ft3")</f>
        <v>http://lutemusic.org/composers/Byrd/fantasia_a_4/fantasia_a_4_with_top.ft3</v>
      </c>
      <c r="AA558" s="0" t="str">
        <f aca="false">HYPERLINK("http://lutemusic.org/composers/Byrd/fantasia_a_4/pdf/fantasia_a_4_with_top.pdf")</f>
        <v>http://lutemusic.org/composers/Byrd/fantasia_a_4/pdf/fantasia_a_4_with_top.pdf</v>
      </c>
      <c r="AB558" s="0" t="str">
        <f aca="false">HYPERLINK("http://lutemusic.org/composers/Byrd/fantasia_a_4/midi/fantasia_a_4_with_top.mid")</f>
        <v>http://lutemusic.org/composers/Byrd/fantasia_a_4/midi/fantasia_a_4_with_top.mid</v>
      </c>
      <c r="AC558" s="0" t="n">
        <v>1573937408</v>
      </c>
      <c r="AD558" s="0" t="n">
        <v>1586042063</v>
      </c>
    </row>
    <row r="559" customFormat="false" ht="12.8" hidden="false" customHeight="false" outlineLevel="0" collapsed="false">
      <c r="A559" s="0" t="s">
        <v>1066</v>
      </c>
      <c r="C559" s="0" t="s">
        <v>448</v>
      </c>
      <c r="E559" s="0" t="s">
        <v>448</v>
      </c>
      <c r="F559" s="0" t="s">
        <v>1067</v>
      </c>
      <c r="H559" s="0" t="n">
        <v>1575</v>
      </c>
      <c r="I559" s="0" t="s">
        <v>35</v>
      </c>
      <c r="J559" s="0" t="s">
        <v>36</v>
      </c>
      <c r="K559" s="0" t="s">
        <v>36</v>
      </c>
      <c r="P559" s="0" t="s">
        <v>1066</v>
      </c>
      <c r="R559" s="0" t="s">
        <v>922</v>
      </c>
      <c r="S559" s="0" t="s">
        <v>119</v>
      </c>
      <c r="T559" s="0" t="n">
        <v>3</v>
      </c>
      <c r="U559" s="0" t="s">
        <v>41</v>
      </c>
      <c r="Z559" s="0" t="str">
        <f aca="false">HYPERLINK("http://lutemusic.org/composers/Byrd/miserere_a_4/miserere_a_4.ft3")</f>
        <v>http://lutemusic.org/composers/Byrd/miserere_a_4/miserere_a_4.ft3</v>
      </c>
      <c r="AA559" s="0" t="str">
        <f aca="false">HYPERLINK("http://lutemusic.org/composers/Byrd/miserere_a_4/pdf/miserere_a_4.pdf")</f>
        <v>http://lutemusic.org/composers/Byrd/miserere_a_4/pdf/miserere_a_4.pdf</v>
      </c>
      <c r="AB559" s="0" t="str">
        <f aca="false">HYPERLINK("http://lutemusic.org/composers/Byrd/miserere_a_4/midi/miserere_a_4.mid")</f>
        <v>http://lutemusic.org/composers/Byrd/miserere_a_4/midi/miserere_a_4.mid</v>
      </c>
      <c r="AC559" s="0" t="n">
        <v>1573937408</v>
      </c>
      <c r="AD559" s="0" t="n">
        <v>1586042063</v>
      </c>
    </row>
    <row r="560" customFormat="false" ht="12.8" hidden="false" customHeight="false" outlineLevel="0" collapsed="false">
      <c r="A560" s="0" t="s">
        <v>1066</v>
      </c>
      <c r="C560" s="0" t="s">
        <v>448</v>
      </c>
      <c r="E560" s="0" t="s">
        <v>448</v>
      </c>
      <c r="F560" s="0" t="s">
        <v>1067</v>
      </c>
      <c r="H560" s="0" t="n">
        <v>1575</v>
      </c>
      <c r="I560" s="0" t="s">
        <v>35</v>
      </c>
      <c r="J560" s="0" t="s">
        <v>36</v>
      </c>
      <c r="K560" s="0" t="s">
        <v>36</v>
      </c>
      <c r="P560" s="0" t="s">
        <v>1066</v>
      </c>
      <c r="R560" s="0" t="s">
        <v>922</v>
      </c>
      <c r="S560" s="0" t="s">
        <v>119</v>
      </c>
      <c r="T560" s="0" t="n">
        <v>3</v>
      </c>
      <c r="U560" s="0" t="s">
        <v>41</v>
      </c>
      <c r="Z560" s="0" t="str">
        <f aca="false">HYPERLINK("http://lutemusic.org/composers/Byrd/miserere_a_4/miserere_a_4_P.ft3")</f>
        <v>http://lutemusic.org/composers/Byrd/miserere_a_4/miserere_a_4_P.ft3</v>
      </c>
      <c r="AA560" s="0" t="str">
        <f aca="false">HYPERLINK("http://lutemusic.org/composers/Byrd/miserere_a_4/pdf/miserere_a_4_P.pdf")</f>
        <v>http://lutemusic.org/composers/Byrd/miserere_a_4/pdf/miserere_a_4_P.pdf</v>
      </c>
      <c r="AB560" s="0" t="str">
        <f aca="false">HYPERLINK("http://lutemusic.org/composers/Byrd/miserere_a_4/midi/miserere_a_4_P.mid")</f>
        <v>http://lutemusic.org/composers/Byrd/miserere_a_4/midi/miserere_a_4_P.mid</v>
      </c>
      <c r="AC560" s="0" t="n">
        <v>1573937408</v>
      </c>
      <c r="AD560" s="0" t="n">
        <v>1586042063</v>
      </c>
    </row>
    <row r="561" customFormat="false" ht="12.8" hidden="false" customHeight="false" outlineLevel="0" collapsed="false">
      <c r="A561" s="0" t="s">
        <v>1068</v>
      </c>
      <c r="B561" s="0" t="s">
        <v>1069</v>
      </c>
      <c r="C561" s="0" t="s">
        <v>1070</v>
      </c>
      <c r="E561" s="0" t="s">
        <v>1070</v>
      </c>
      <c r="F561" s="0" t="s">
        <v>1071</v>
      </c>
      <c r="H561" s="0" t="n">
        <v>1578</v>
      </c>
      <c r="J561" s="0" t="s">
        <v>36</v>
      </c>
      <c r="K561" s="0" t="s">
        <v>36</v>
      </c>
      <c r="L561" s="0" t="s">
        <v>1072</v>
      </c>
      <c r="P561" s="0" t="s">
        <v>1068</v>
      </c>
      <c r="R561" s="0" t="s">
        <v>1073</v>
      </c>
      <c r="S561" s="0" t="s">
        <v>62</v>
      </c>
      <c r="T561" s="0" t="n">
        <v>2</v>
      </c>
      <c r="U561" s="0" t="s">
        <v>63</v>
      </c>
      <c r="Z561" s="0" t="str">
        <f aca="false">HYPERLINK("http://lutemusic.org/composers/Cabezon/tiento1a.ft3")</f>
        <v>http://lutemusic.org/composers/Cabezon/tiento1a.ft3</v>
      </c>
      <c r="AA561" s="0" t="str">
        <f aca="false">HYPERLINK("http://lutemusic.org/composers/Cabezon/pdf/tiento1a.pdf")</f>
        <v>http://lutemusic.org/composers/Cabezon/pdf/tiento1a.pdf</v>
      </c>
      <c r="AB561" s="0" t="str">
        <f aca="false">HYPERLINK("http://lutemusic.org/composers/Cabezon/midi/tiento1a.mid")</f>
        <v>http://lutemusic.org/composers/Cabezon/midi/tiento1a.mid</v>
      </c>
      <c r="AC561" s="0" t="n">
        <v>1573937408</v>
      </c>
      <c r="AD561" s="0" t="n">
        <v>1586042063</v>
      </c>
    </row>
    <row r="562" customFormat="false" ht="12.8" hidden="false" customHeight="false" outlineLevel="0" collapsed="false">
      <c r="A562" s="0" t="s">
        <v>1074</v>
      </c>
      <c r="C562" s="0" t="s">
        <v>1075</v>
      </c>
      <c r="E562" s="0" t="s">
        <v>1075</v>
      </c>
      <c r="F562" s="0" t="s">
        <v>1076</v>
      </c>
      <c r="H562" s="0" t="n">
        <v>1614</v>
      </c>
      <c r="I562" s="0" t="s">
        <v>866</v>
      </c>
      <c r="J562" s="0" t="s">
        <v>36</v>
      </c>
      <c r="K562" s="0" t="s">
        <v>36</v>
      </c>
      <c r="L562" s="0" t="s">
        <v>36</v>
      </c>
      <c r="P562" s="0" t="s">
        <v>1074</v>
      </c>
      <c r="R562" s="0" t="s">
        <v>51</v>
      </c>
      <c r="S562" s="0" t="s">
        <v>62</v>
      </c>
      <c r="T562" s="0" t="n">
        <v>3</v>
      </c>
      <c r="U562" s="0" t="s">
        <v>1077</v>
      </c>
      <c r="V562" s="0" t="s">
        <v>40</v>
      </c>
      <c r="Z562" s="0" t="str">
        <f aca="false">HYPERLINK("http://lutemusic.org/composers/Caccini/songs/alme_luce_beate/alme_luce_beate.ft3")</f>
        <v>http://lutemusic.org/composers/Caccini/songs/alme_luce_beate/alme_luce_beate.ft3</v>
      </c>
      <c r="AA562" s="0" t="str">
        <f aca="false">HYPERLINK("http://lutemusic.org/composers/Caccini/songs/alme_luce_beate/pdf/alme_luce_beate.pdf")</f>
        <v>http://lutemusic.org/composers/Caccini/songs/alme_luce_beate/pdf/alme_luce_beate.pdf</v>
      </c>
      <c r="AB562" s="0" t="str">
        <f aca="false">HYPERLINK("http://lutemusic.org/composers/Caccini/songs/alme_luce_beate/midi/alme_luce_beate.mid")</f>
        <v>http://lutemusic.org/composers/Caccini/songs/alme_luce_beate/midi/alme_luce_beate.mid</v>
      </c>
      <c r="AC562" s="0" t="n">
        <v>1573937408</v>
      </c>
      <c r="AD562" s="0" t="n">
        <v>1586042063</v>
      </c>
    </row>
    <row r="563" customFormat="false" ht="12.8" hidden="false" customHeight="false" outlineLevel="0" collapsed="false">
      <c r="A563" s="0" t="s">
        <v>1074</v>
      </c>
      <c r="C563" s="0" t="s">
        <v>1075</v>
      </c>
      <c r="E563" s="0" t="s">
        <v>1075</v>
      </c>
      <c r="F563" s="0" t="s">
        <v>1076</v>
      </c>
      <c r="H563" s="0" t="n">
        <v>1614</v>
      </c>
      <c r="I563" s="0" t="s">
        <v>866</v>
      </c>
      <c r="J563" s="0" t="s">
        <v>36</v>
      </c>
      <c r="K563" s="0" t="s">
        <v>36</v>
      </c>
      <c r="L563" s="0" t="s">
        <v>36</v>
      </c>
      <c r="P563" s="0" t="s">
        <v>1074</v>
      </c>
      <c r="R563" s="0" t="s">
        <v>51</v>
      </c>
      <c r="S563" s="0" t="s">
        <v>62</v>
      </c>
      <c r="T563" s="0" t="n">
        <v>3</v>
      </c>
      <c r="U563" s="0" t="s">
        <v>1077</v>
      </c>
      <c r="V563" s="0" t="s">
        <v>41</v>
      </c>
      <c r="Z563" s="0" t="str">
        <f aca="false">HYPERLINK("http://lutemusic.org/composers/Caccini/songs/alme_luce_beate/alme_luce_beate_T.ft3")</f>
        <v>http://lutemusic.org/composers/Caccini/songs/alme_luce_beate/alme_luce_beate_T.ft3</v>
      </c>
      <c r="AA563" s="0" t="str">
        <f aca="false">HYPERLINK("http://lutemusic.org/composers/Caccini/songs/alme_luce_beate/pdf/alme_luce_beate_T.pdf")</f>
        <v>http://lutemusic.org/composers/Caccini/songs/alme_luce_beate/pdf/alme_luce_beate_T.pdf</v>
      </c>
      <c r="AB563" s="0" t="str">
        <f aca="false">HYPERLINK("http://lutemusic.org/composers/Caccini/songs/alme_luce_beate/midi/alme_luce_beate_T.mid")</f>
        <v>http://lutemusic.org/composers/Caccini/songs/alme_luce_beate/midi/alme_luce_beate_T.mid</v>
      </c>
      <c r="AC563" s="0" t="n">
        <v>1573937408</v>
      </c>
      <c r="AD563" s="0" t="n">
        <v>1586042063</v>
      </c>
    </row>
    <row r="564" customFormat="false" ht="12.8" hidden="false" customHeight="false" outlineLevel="0" collapsed="false">
      <c r="A564" s="0" t="s">
        <v>1078</v>
      </c>
      <c r="C564" s="0" t="s">
        <v>1075</v>
      </c>
      <c r="E564" s="0" t="s">
        <v>418</v>
      </c>
      <c r="F564" s="0" t="s">
        <v>419</v>
      </c>
      <c r="H564" s="0" t="n">
        <v>1610</v>
      </c>
      <c r="I564" s="0" t="s">
        <v>1079</v>
      </c>
      <c r="J564" s="0" t="s">
        <v>36</v>
      </c>
      <c r="K564" s="0" t="s">
        <v>36</v>
      </c>
      <c r="P564" s="0" t="s">
        <v>1078</v>
      </c>
      <c r="R564" s="0" t="s">
        <v>51</v>
      </c>
      <c r="S564" s="0" t="s">
        <v>119</v>
      </c>
      <c r="T564" s="0" t="n">
        <v>3</v>
      </c>
      <c r="U564" s="0" t="s">
        <v>1080</v>
      </c>
      <c r="V564" s="0" t="s">
        <v>620</v>
      </c>
      <c r="Y564" s="0" t="str">
        <f aca="false">HYPERLINK("http://lutemusic.org/facsimiles/DowlandR/A_Musicall_Banquet_1610/l1v.png")</f>
        <v>http://lutemusic.org/facsimiles/DowlandR/A_Musicall_Banquet_1610/l1v.png</v>
      </c>
      <c r="Z564" s="0" t="str">
        <f aca="false">HYPERLINK("http://lutemusic.org/composers/Caccini/songs/amarilli_mia_bella/L1v_amarilli_mia_bella.ft3")</f>
        <v>http://lutemusic.org/composers/Caccini/songs/amarilli_mia_bella/L1v_amarilli_mia_bella.ft3</v>
      </c>
      <c r="AA564" s="0" t="str">
        <f aca="false">HYPERLINK("http://lutemusic.org/composers/Caccini/songs/amarilli_mia_bella/pdf/L1v_amarilli_mia_bella.pdf")</f>
        <v>http://lutemusic.org/composers/Caccini/songs/amarilli_mia_bella/pdf/L1v_amarilli_mia_bella.pdf</v>
      </c>
      <c r="AB564" s="0" t="str">
        <f aca="false">HYPERLINK("http://lutemusic.org/composers/Caccini/songs/amarilli_mia_bella/midi/L1v_amarilli_mia_bella.mid")</f>
        <v>http://lutemusic.org/composers/Caccini/songs/amarilli_mia_bella/midi/L1v_amarilli_mia_bella.mid</v>
      </c>
      <c r="AC564" s="0" t="n">
        <v>1573937408</v>
      </c>
      <c r="AD564" s="0" t="n">
        <v>1588451613</v>
      </c>
    </row>
    <row r="565" customFormat="false" ht="12.8" hidden="false" customHeight="false" outlineLevel="0" collapsed="false">
      <c r="A565" s="0" t="s">
        <v>1078</v>
      </c>
      <c r="C565" s="0" t="s">
        <v>1075</v>
      </c>
      <c r="E565" s="0" t="s">
        <v>418</v>
      </c>
      <c r="F565" s="0" t="s">
        <v>419</v>
      </c>
      <c r="H565" s="0" t="n">
        <v>1610</v>
      </c>
      <c r="I565" s="0" t="s">
        <v>1079</v>
      </c>
      <c r="J565" s="0" t="s">
        <v>36</v>
      </c>
      <c r="K565" s="0" t="s">
        <v>36</v>
      </c>
      <c r="P565" s="0" t="s">
        <v>1078</v>
      </c>
      <c r="R565" s="0" t="s">
        <v>51</v>
      </c>
      <c r="S565" s="0" t="s">
        <v>119</v>
      </c>
      <c r="T565" s="0" t="n">
        <v>3</v>
      </c>
      <c r="U565" s="0" t="s">
        <v>1080</v>
      </c>
      <c r="V565" s="0" t="s">
        <v>423</v>
      </c>
      <c r="Y565" s="0" t="str">
        <f aca="false">HYPERLINK("http://lutemusic.org/facsimiles/DowlandR/A_Musicall_Banquet_1610/l1v.png")</f>
        <v>http://lutemusic.org/facsimiles/DowlandR/A_Musicall_Banquet_1610/l1v.png</v>
      </c>
      <c r="Z565" s="0" t="str">
        <f aca="false">HYPERLINK("http://lutemusic.org/composers/Caccini/songs/amarilli_mia_bella/L1v_amarilli_mia_bella_B.ft3")</f>
        <v>http://lutemusic.org/composers/Caccini/songs/amarilli_mia_bella/L1v_amarilli_mia_bella_B.ft3</v>
      </c>
      <c r="AA565" s="0" t="str">
        <f aca="false">HYPERLINK("http://lutemusic.org/composers/Caccini/songs/amarilli_mia_bella/pdf/L1v_amarilli_mia_bella_B.pdf")</f>
        <v>http://lutemusic.org/composers/Caccini/songs/amarilli_mia_bella/pdf/L1v_amarilli_mia_bella_B.pdf</v>
      </c>
      <c r="AB565" s="0" t="str">
        <f aca="false">HYPERLINK("http://lutemusic.org/composers/Caccini/songs/amarilli_mia_bella/midi/L1v_amarilli_mia_bella_B.mid")</f>
        <v>http://lutemusic.org/composers/Caccini/songs/amarilli_mia_bella/midi/L1v_amarilli_mia_bella_B.mid</v>
      </c>
      <c r="AC565" s="0" t="n">
        <v>1573937408</v>
      </c>
      <c r="AD565" s="0" t="n">
        <v>1588451613</v>
      </c>
    </row>
    <row r="566" customFormat="false" ht="12.8" hidden="false" customHeight="false" outlineLevel="0" collapsed="false">
      <c r="A566" s="0" t="s">
        <v>1078</v>
      </c>
      <c r="C566" s="0" t="s">
        <v>1075</v>
      </c>
      <c r="E566" s="0" t="s">
        <v>418</v>
      </c>
      <c r="F566" s="0" t="s">
        <v>419</v>
      </c>
      <c r="H566" s="0" t="n">
        <v>1610</v>
      </c>
      <c r="I566" s="0" t="s">
        <v>1079</v>
      </c>
      <c r="J566" s="0" t="s">
        <v>36</v>
      </c>
      <c r="K566" s="0" t="s">
        <v>36</v>
      </c>
      <c r="P566" s="0" t="s">
        <v>1078</v>
      </c>
      <c r="R566" s="0" t="s">
        <v>51</v>
      </c>
      <c r="S566" s="0" t="s">
        <v>119</v>
      </c>
      <c r="T566" s="0" t="n">
        <v>3</v>
      </c>
      <c r="U566" s="0" t="s">
        <v>1080</v>
      </c>
      <c r="V566" s="0" t="s">
        <v>40</v>
      </c>
      <c r="Y566" s="0" t="str">
        <f aca="false">HYPERLINK("http://lutemusic.org/facsimiles/DowlandR/A_Musicall_Banquet_1610/l1v.png")</f>
        <v>http://lutemusic.org/facsimiles/DowlandR/A_Musicall_Banquet_1610/l1v.png</v>
      </c>
      <c r="Z566" s="0" t="str">
        <f aca="false">HYPERLINK("http://lutemusic.org/composers/Caccini/songs/amarilli_mia_bella/L1v_amarilli_mia_bella_S.ft3")</f>
        <v>http://lutemusic.org/composers/Caccini/songs/amarilli_mia_bella/L1v_amarilli_mia_bella_S.ft3</v>
      </c>
      <c r="AA566" s="0" t="str">
        <f aca="false">HYPERLINK("http://lutemusic.org/composers/Caccini/songs/amarilli_mia_bella/pdf/L1v_amarilli_mia_bella_S.pdf")</f>
        <v>http://lutemusic.org/composers/Caccini/songs/amarilli_mia_bella/pdf/L1v_amarilli_mia_bella_S.pdf</v>
      </c>
      <c r="AB566" s="0" t="str">
        <f aca="false">HYPERLINK("http://lutemusic.org/composers/Caccini/songs/amarilli_mia_bella/midi/L1v_amarilli_mia_bella_S.mid")</f>
        <v>http://lutemusic.org/composers/Caccini/songs/amarilli_mia_bella/midi/L1v_amarilli_mia_bella_S.mid</v>
      </c>
      <c r="AC566" s="0" t="n">
        <v>1573937408</v>
      </c>
      <c r="AD566" s="0" t="n">
        <v>1588451613</v>
      </c>
    </row>
    <row r="567" customFormat="false" ht="12.8" hidden="false" customHeight="false" outlineLevel="0" collapsed="false">
      <c r="A567" s="0" t="s">
        <v>1078</v>
      </c>
      <c r="C567" s="0" t="s">
        <v>1075</v>
      </c>
      <c r="E567" s="0" t="s">
        <v>418</v>
      </c>
      <c r="F567" s="0" t="s">
        <v>419</v>
      </c>
      <c r="H567" s="0" t="n">
        <v>1610</v>
      </c>
      <c r="I567" s="0" t="s">
        <v>1079</v>
      </c>
      <c r="J567" s="0" t="s">
        <v>36</v>
      </c>
      <c r="K567" s="0" t="s">
        <v>36</v>
      </c>
      <c r="P567" s="0" t="s">
        <v>1078</v>
      </c>
      <c r="R567" s="0" t="s">
        <v>51</v>
      </c>
      <c r="S567" s="0" t="s">
        <v>119</v>
      </c>
      <c r="T567" s="0" t="n">
        <v>3</v>
      </c>
      <c r="U567" s="0" t="s">
        <v>1080</v>
      </c>
      <c r="V567" s="0" t="s">
        <v>143</v>
      </c>
      <c r="Y567" s="0" t="str">
        <f aca="false">HYPERLINK("http://lutemusic.org/facsimiles/DowlandR/A_Musicall_Banquet_1610/l1v.png")</f>
        <v>http://lutemusic.org/facsimiles/DowlandR/A_Musicall_Banquet_1610/l1v.png</v>
      </c>
      <c r="Z567" s="0" t="str">
        <f aca="false">HYPERLINK("http://lutemusic.org/composers/Caccini/songs/amarilli_mia_bella/L1v_amarilli_mia_bella_T.ft3")</f>
        <v>http://lutemusic.org/composers/Caccini/songs/amarilli_mia_bella/L1v_amarilli_mia_bella_T.ft3</v>
      </c>
      <c r="AA567" s="0" t="str">
        <f aca="false">HYPERLINK("http://lutemusic.org/composers/Caccini/songs/amarilli_mia_bella/pdf/L1v_amarilli_mia_bella_T.pdf")</f>
        <v>http://lutemusic.org/composers/Caccini/songs/amarilli_mia_bella/pdf/L1v_amarilli_mia_bella_T.pdf</v>
      </c>
      <c r="AB567" s="0" t="str">
        <f aca="false">HYPERLINK("http://lutemusic.org/composers/Caccini/songs/amarilli_mia_bella/midi/L1v_amarilli_mia_bella_T.mid")</f>
        <v>http://lutemusic.org/composers/Caccini/songs/amarilli_mia_bella/midi/L1v_amarilli_mia_bella_T.mid</v>
      </c>
      <c r="AC567" s="0" t="n">
        <v>1573937408</v>
      </c>
      <c r="AD567" s="0" t="n">
        <v>1588451613</v>
      </c>
    </row>
    <row r="568" customFormat="false" ht="12.8" hidden="false" customHeight="false" outlineLevel="0" collapsed="false">
      <c r="A568" s="0" t="s">
        <v>1078</v>
      </c>
      <c r="C568" s="0" t="s">
        <v>1075</v>
      </c>
      <c r="E568" s="0" t="s">
        <v>418</v>
      </c>
      <c r="F568" s="0" t="s">
        <v>419</v>
      </c>
      <c r="H568" s="0" t="n">
        <v>1610</v>
      </c>
      <c r="I568" s="0" t="s">
        <v>1079</v>
      </c>
      <c r="J568" s="0" t="s">
        <v>36</v>
      </c>
      <c r="K568" s="0" t="s">
        <v>36</v>
      </c>
      <c r="P568" s="0" t="s">
        <v>1078</v>
      </c>
      <c r="R568" s="0" t="s">
        <v>51</v>
      </c>
      <c r="S568" s="0" t="s">
        <v>119</v>
      </c>
      <c r="T568" s="0" t="n">
        <v>3</v>
      </c>
      <c r="U568" s="0" t="s">
        <v>1080</v>
      </c>
      <c r="V568" s="0" t="s">
        <v>442</v>
      </c>
      <c r="Y568" s="0" t="str">
        <f aca="false">HYPERLINK("http://lutemusic.org/facsimiles/DowlandR/A_Musicall_Banquet_1610/l1v.png")</f>
        <v>http://lutemusic.org/facsimiles/DowlandR/A_Musicall_Banquet_1610/l1v.png</v>
      </c>
      <c r="Z568" s="0" t="str">
        <f aca="false">HYPERLINK("http://lutemusic.org/composers/Caccini/songs/amarilli_mia_bella/L1v_amarilli_mia_bella_VB.ft3")</f>
        <v>http://lutemusic.org/composers/Caccini/songs/amarilli_mia_bella/L1v_amarilli_mia_bella_VB.ft3</v>
      </c>
      <c r="AA568" s="0" t="str">
        <f aca="false">HYPERLINK("http://lutemusic.org/composers/Caccini/songs/amarilli_mia_bella/pdf/L1v_amarilli_mia_bella_VB.pdf")</f>
        <v>http://lutemusic.org/composers/Caccini/songs/amarilli_mia_bella/pdf/L1v_amarilli_mia_bella_VB.pdf</v>
      </c>
      <c r="AB568" s="0" t="str">
        <f aca="false">HYPERLINK("http://lutemusic.org/composers/Caccini/songs/amarilli_mia_bella/midi/L1v_amarilli_mia_bella_VB.mid")</f>
        <v>http://lutemusic.org/composers/Caccini/songs/amarilli_mia_bella/midi/L1v_amarilli_mia_bella_VB.mid</v>
      </c>
      <c r="AC568" s="0" t="n">
        <v>1573937408</v>
      </c>
      <c r="AD568" s="0" t="n">
        <v>1588451613</v>
      </c>
    </row>
    <row r="569" customFormat="false" ht="12.8" hidden="false" customHeight="false" outlineLevel="0" collapsed="false">
      <c r="A569" s="0" t="s">
        <v>1078</v>
      </c>
      <c r="C569" s="0" t="s">
        <v>1075</v>
      </c>
      <c r="E569" s="0" t="s">
        <v>418</v>
      </c>
      <c r="F569" s="0" t="s">
        <v>419</v>
      </c>
      <c r="H569" s="0" t="n">
        <v>1610</v>
      </c>
      <c r="I569" s="0" t="s">
        <v>1079</v>
      </c>
      <c r="J569" s="0" t="s">
        <v>36</v>
      </c>
      <c r="K569" s="0" t="s">
        <v>36</v>
      </c>
      <c r="P569" s="0" t="s">
        <v>1078</v>
      </c>
      <c r="R569" s="0" t="s">
        <v>51</v>
      </c>
      <c r="S569" s="0" t="s">
        <v>119</v>
      </c>
      <c r="T569" s="0" t="n">
        <v>3</v>
      </c>
      <c r="U569" s="0" t="s">
        <v>1080</v>
      </c>
      <c r="V569" s="0" t="s">
        <v>620</v>
      </c>
      <c r="Y569" s="0" t="str">
        <f aca="false">HYPERLINK("http://lutemusic.org/facsimiles/DowlandR/A_Musicall_Banquet_1610/l1v.png")</f>
        <v>http://lutemusic.org/facsimiles/DowlandR/A_Musicall_Banquet_1610/l1v.png</v>
      </c>
      <c r="Z569" s="0" t="str">
        <f aca="false">HYPERLINK("http://lutemusic.org/composers/Caccini/songs/amarilli_mia_bella/L1v_amarilli_mia_bella_VL.ft3")</f>
        <v>http://lutemusic.org/composers/Caccini/songs/amarilli_mia_bella/L1v_amarilli_mia_bella_VL.ft3</v>
      </c>
      <c r="AA569" s="0" t="str">
        <f aca="false">HYPERLINK("http://lutemusic.org/composers/Caccini/songs/amarilli_mia_bella/pdf/L1v_amarilli_mia_bella_VL.pdf")</f>
        <v>http://lutemusic.org/composers/Caccini/songs/amarilli_mia_bella/pdf/L1v_amarilli_mia_bella_VL.pdf</v>
      </c>
      <c r="AB569" s="0" t="str">
        <f aca="false">HYPERLINK("http://lutemusic.org/composers/Caccini/songs/amarilli_mia_bella/midi/L1v_amarilli_mia_bella_VL.mid")</f>
        <v>http://lutemusic.org/composers/Caccini/songs/amarilli_mia_bella/midi/L1v_amarilli_mia_bella_VL.mid</v>
      </c>
      <c r="AC569" s="0" t="n">
        <v>1573937408</v>
      </c>
      <c r="AD569" s="0" t="n">
        <v>1588451613</v>
      </c>
    </row>
    <row r="570" customFormat="false" ht="12.8" hidden="false" customHeight="false" outlineLevel="0" collapsed="false">
      <c r="A570" s="0" t="s">
        <v>1081</v>
      </c>
      <c r="C570" s="0" t="s">
        <v>1075</v>
      </c>
      <c r="E570" s="0" t="s">
        <v>1075</v>
      </c>
      <c r="F570" s="0" t="s">
        <v>1076</v>
      </c>
      <c r="H570" s="0" t="n">
        <v>1614</v>
      </c>
      <c r="I570" s="0" t="s">
        <v>1082</v>
      </c>
      <c r="J570" s="0" t="s">
        <v>36</v>
      </c>
      <c r="K570" s="0" t="s">
        <v>36</v>
      </c>
      <c r="L570" s="0" t="s">
        <v>36</v>
      </c>
      <c r="P570" s="0" t="s">
        <v>1081</v>
      </c>
      <c r="R570" s="0" t="s">
        <v>51</v>
      </c>
      <c r="S570" s="0" t="s">
        <v>84</v>
      </c>
      <c r="T570" s="0" t="n">
        <v>3</v>
      </c>
      <c r="U570" s="0" t="s">
        <v>1083</v>
      </c>
      <c r="V570" s="0" t="s">
        <v>40</v>
      </c>
      <c r="Z570" s="0" t="str">
        <f aca="false">HYPERLINK("http://lutemusic.org/composers/Caccini/songs/amor-ch_attendi/amor_ch_attendi.ft3")</f>
        <v>http://lutemusic.org/composers/Caccini/songs/amor-ch_attendi/amor_ch_attendi.ft3</v>
      </c>
      <c r="AA570" s="0" t="str">
        <f aca="false">HYPERLINK("http://lutemusic.org/composers/Caccini/songs/amor-ch_attendi/pdf/amor_ch_attendi.pdf")</f>
        <v>http://lutemusic.org/composers/Caccini/songs/amor-ch_attendi/pdf/amor_ch_attendi.pdf</v>
      </c>
      <c r="AB570" s="0" t="str">
        <f aca="false">HYPERLINK("http://lutemusic.org/composers/Caccini/songs/amor-ch_attendi/midi/amor_ch_attendi.mid")</f>
        <v>http://lutemusic.org/composers/Caccini/songs/amor-ch_attendi/midi/amor_ch_attendi.mid</v>
      </c>
      <c r="AC570" s="0" t="n">
        <v>1573937409</v>
      </c>
      <c r="AD570" s="0" t="n">
        <v>1586042063</v>
      </c>
    </row>
    <row r="571" customFormat="false" ht="12.8" hidden="false" customHeight="false" outlineLevel="0" collapsed="false">
      <c r="A571" s="0" t="s">
        <v>1081</v>
      </c>
      <c r="C571" s="0" t="s">
        <v>1075</v>
      </c>
      <c r="E571" s="0" t="s">
        <v>1075</v>
      </c>
      <c r="F571" s="0" t="s">
        <v>1076</v>
      </c>
      <c r="H571" s="0" t="n">
        <v>1614</v>
      </c>
      <c r="I571" s="0" t="s">
        <v>1082</v>
      </c>
      <c r="J571" s="0" t="s">
        <v>36</v>
      </c>
      <c r="K571" s="0" t="s">
        <v>36</v>
      </c>
      <c r="L571" s="0" t="s">
        <v>36</v>
      </c>
      <c r="P571" s="0" t="s">
        <v>1081</v>
      </c>
      <c r="R571" s="0" t="s">
        <v>51</v>
      </c>
      <c r="S571" s="0" t="s">
        <v>84</v>
      </c>
      <c r="T571" s="0" t="n">
        <v>3</v>
      </c>
      <c r="U571" s="0" t="s">
        <v>1083</v>
      </c>
      <c r="V571" s="0" t="s">
        <v>143</v>
      </c>
      <c r="Z571" s="0" t="str">
        <f aca="false">HYPERLINK("http://lutemusic.org/composers/Caccini/songs/amor-ch_attendi/amor_ch_attendi_T.ft3")</f>
        <v>http://lutemusic.org/composers/Caccini/songs/amor-ch_attendi/amor_ch_attendi_T.ft3</v>
      </c>
      <c r="AA571" s="0" t="str">
        <f aca="false">HYPERLINK("http://lutemusic.org/composers/Caccini/songs/amor-ch_attendi/pdf/amor_ch_attendi_T.pdf")</f>
        <v>http://lutemusic.org/composers/Caccini/songs/amor-ch_attendi/pdf/amor_ch_attendi_T.pdf</v>
      </c>
      <c r="AB571" s="0" t="str">
        <f aca="false">HYPERLINK("http://lutemusic.org/composers/Caccini/songs/amor-ch_attendi/midi/amor_ch_attendi_T.mid")</f>
        <v>http://lutemusic.org/composers/Caccini/songs/amor-ch_attendi/midi/amor_ch_attendi_T.mid</v>
      </c>
      <c r="AC571" s="0" t="n">
        <v>1573937409</v>
      </c>
      <c r="AD571" s="0" t="n">
        <v>1586042063</v>
      </c>
    </row>
    <row r="572" customFormat="false" ht="12.8" hidden="false" customHeight="false" outlineLevel="0" collapsed="false">
      <c r="A572" s="0" t="s">
        <v>1084</v>
      </c>
      <c r="C572" s="0" t="s">
        <v>1075</v>
      </c>
      <c r="E572" s="0" t="s">
        <v>1075</v>
      </c>
      <c r="F572" s="0" t="s">
        <v>1076</v>
      </c>
      <c r="H572" s="0" t="n">
        <v>1614</v>
      </c>
      <c r="I572" s="0" t="s">
        <v>1085</v>
      </c>
      <c r="J572" s="0" t="s">
        <v>36</v>
      </c>
      <c r="K572" s="0" t="s">
        <v>36</v>
      </c>
      <c r="L572" s="0" t="s">
        <v>36</v>
      </c>
      <c r="P572" s="0" t="s">
        <v>1084</v>
      </c>
      <c r="R572" s="0" t="s">
        <v>51</v>
      </c>
      <c r="S572" s="0" t="s">
        <v>84</v>
      </c>
      <c r="T572" s="0" t="n">
        <v>3</v>
      </c>
      <c r="U572" s="0" t="s">
        <v>1083</v>
      </c>
      <c r="V572" s="0" t="s">
        <v>40</v>
      </c>
      <c r="Z572" s="0" t="str">
        <f aca="false">HYPERLINK("http://lutemusic.org/composers/Caccini/songs/aur_amorosa/aur_amorosa.ft3")</f>
        <v>http://lutemusic.org/composers/Caccini/songs/aur_amorosa/aur_amorosa.ft3</v>
      </c>
      <c r="AA572" s="0" t="str">
        <f aca="false">HYPERLINK("http://lutemusic.org/composers/Caccini/songs/aur_amorosa/pdf/aur_amorosa.pdf")</f>
        <v>http://lutemusic.org/composers/Caccini/songs/aur_amorosa/pdf/aur_amorosa.pdf</v>
      </c>
      <c r="AB572" s="0" t="str">
        <f aca="false">HYPERLINK("http://lutemusic.org/composers/Caccini/songs/aur_amorosa/midi/aur_amorosa.mid")</f>
        <v>http://lutemusic.org/composers/Caccini/songs/aur_amorosa/midi/aur_amorosa.mid</v>
      </c>
      <c r="AC572" s="0" t="n">
        <v>1573937409</v>
      </c>
      <c r="AD572" s="0" t="n">
        <v>1586042063</v>
      </c>
    </row>
    <row r="573" customFormat="false" ht="12.8" hidden="false" customHeight="false" outlineLevel="0" collapsed="false">
      <c r="A573" s="0" t="s">
        <v>1084</v>
      </c>
      <c r="C573" s="0" t="s">
        <v>1075</v>
      </c>
      <c r="E573" s="0" t="s">
        <v>1075</v>
      </c>
      <c r="F573" s="0" t="s">
        <v>1076</v>
      </c>
      <c r="H573" s="0" t="n">
        <v>1614</v>
      </c>
      <c r="I573" s="0" t="s">
        <v>1085</v>
      </c>
      <c r="J573" s="0" t="s">
        <v>36</v>
      </c>
      <c r="K573" s="0" t="s">
        <v>36</v>
      </c>
      <c r="L573" s="0" t="s">
        <v>36</v>
      </c>
      <c r="P573" s="0" t="s">
        <v>1084</v>
      </c>
      <c r="R573" s="0" t="s">
        <v>51</v>
      </c>
      <c r="S573" s="0" t="s">
        <v>84</v>
      </c>
      <c r="T573" s="0" t="n">
        <v>3</v>
      </c>
      <c r="U573" s="0" t="s">
        <v>1083</v>
      </c>
      <c r="V573" s="0" t="s">
        <v>143</v>
      </c>
      <c r="Z573" s="0" t="str">
        <f aca="false">HYPERLINK("http://lutemusic.org/composers/Caccini/songs/aur_amorosa/aur_amorosa_T.ft3")</f>
        <v>http://lutemusic.org/composers/Caccini/songs/aur_amorosa/aur_amorosa_T.ft3</v>
      </c>
      <c r="AA573" s="0" t="str">
        <f aca="false">HYPERLINK("http://lutemusic.org/composers/Caccini/songs/aur_amorosa/pdf/aur_amorosa_T.pdf")</f>
        <v>http://lutemusic.org/composers/Caccini/songs/aur_amorosa/pdf/aur_amorosa_T.pdf</v>
      </c>
      <c r="AB573" s="0" t="str">
        <f aca="false">HYPERLINK("http://lutemusic.org/composers/Caccini/songs/aur_amorosa/midi/aur_amorosa_T.mid")</f>
        <v>http://lutemusic.org/composers/Caccini/songs/aur_amorosa/midi/aur_amorosa_T.mid</v>
      </c>
      <c r="AC573" s="0" t="n">
        <v>1573937409</v>
      </c>
      <c r="AD573" s="0" t="n">
        <v>1586042063</v>
      </c>
    </row>
    <row r="574" customFormat="false" ht="12.8" hidden="false" customHeight="false" outlineLevel="0" collapsed="false">
      <c r="A574" s="0" t="s">
        <v>1086</v>
      </c>
      <c r="C574" s="0" t="s">
        <v>1075</v>
      </c>
      <c r="E574" s="0" t="s">
        <v>1087</v>
      </c>
      <c r="F574" s="0" t="s">
        <v>1088</v>
      </c>
      <c r="H574" s="0" t="n">
        <v>1614</v>
      </c>
      <c r="I574" s="0" t="s">
        <v>1089</v>
      </c>
      <c r="J574" s="0" t="s">
        <v>36</v>
      </c>
      <c r="K574" s="0" t="s">
        <v>36</v>
      </c>
      <c r="L574" s="0" t="s">
        <v>36</v>
      </c>
      <c r="P574" s="0" t="s">
        <v>1086</v>
      </c>
      <c r="R574" s="0" t="s">
        <v>51</v>
      </c>
      <c r="S574" s="0" t="s">
        <v>119</v>
      </c>
      <c r="T574" s="0" t="n">
        <v>3</v>
      </c>
      <c r="U574" s="0" t="s">
        <v>570</v>
      </c>
      <c r="V574" s="0" t="s">
        <v>40</v>
      </c>
      <c r="Z574" s="0" t="str">
        <f aca="false">HYPERLINK("http://lutemusic.org/composers/Caccini/songs/non_ha_l_ciel_cotanti_lumi/non_ha_l_ciel_cotanti_lumi_O.ft3")</f>
        <v>http://lutemusic.org/composers/Caccini/songs/non_ha_l_ciel_cotanti_lumi/non_ha_l_ciel_cotanti_lumi_O.ft3</v>
      </c>
      <c r="AA574" s="0" t="str">
        <f aca="false">HYPERLINK("http://lutemusic.org/composers/Caccini/songs/non_ha_l_ciel_cotanti_lumi/pdf/non_ha_l_ciel_cotanti_lumi_O.pdf")</f>
        <v>http://lutemusic.org/composers/Caccini/songs/non_ha_l_ciel_cotanti_lumi/pdf/non_ha_l_ciel_cotanti_lumi_O.pdf</v>
      </c>
      <c r="AB574" s="0" t="str">
        <f aca="false">HYPERLINK("http://lutemusic.org/composers/Caccini/songs/non_ha_l_ciel_cotanti_lumi/midi/non_ha_l_ciel_cotanti_lumi_O.mid")</f>
        <v>http://lutemusic.org/composers/Caccini/songs/non_ha_l_ciel_cotanti_lumi/midi/non_ha_l_ciel_cotanti_lumi_O.mid</v>
      </c>
      <c r="AC574" s="0" t="n">
        <v>1573937409</v>
      </c>
      <c r="AD574" s="0" t="n">
        <v>1586042063</v>
      </c>
    </row>
    <row r="575" customFormat="false" ht="12.8" hidden="false" customHeight="false" outlineLevel="0" collapsed="false">
      <c r="A575" s="0" t="s">
        <v>1086</v>
      </c>
      <c r="C575" s="0" t="s">
        <v>1075</v>
      </c>
      <c r="E575" s="0" t="s">
        <v>1087</v>
      </c>
      <c r="F575" s="0" t="s">
        <v>1088</v>
      </c>
      <c r="H575" s="0" t="n">
        <v>1614</v>
      </c>
      <c r="I575" s="0" t="s">
        <v>1089</v>
      </c>
      <c r="J575" s="0" t="s">
        <v>36</v>
      </c>
      <c r="K575" s="0" t="s">
        <v>36</v>
      </c>
      <c r="L575" s="0" t="s">
        <v>36</v>
      </c>
      <c r="P575" s="0" t="s">
        <v>1086</v>
      </c>
      <c r="R575" s="0" t="s">
        <v>51</v>
      </c>
      <c r="S575" s="0" t="s">
        <v>119</v>
      </c>
      <c r="T575" s="0" t="n">
        <v>3</v>
      </c>
      <c r="U575" s="0" t="s">
        <v>570</v>
      </c>
      <c r="V575" s="0" t="s">
        <v>41</v>
      </c>
      <c r="Z575" s="0" t="str">
        <f aca="false">HYPERLINK("http://lutemusic.org/composers/Caccini/songs/non_ha_l_ciel_cotanti_lumi/non_ha_l_ciel_cotanti_lumi_O_T.ft3")</f>
        <v>http://lutemusic.org/composers/Caccini/songs/non_ha_l_ciel_cotanti_lumi/non_ha_l_ciel_cotanti_lumi_O_T.ft3</v>
      </c>
      <c r="AA575" s="0" t="str">
        <f aca="false">HYPERLINK("http://lutemusic.org/composers/Caccini/songs/non_ha_l_ciel_cotanti_lumi/pdf/non_ha_l_ciel_cotanti_lumi_O_T.pdf")</f>
        <v>http://lutemusic.org/composers/Caccini/songs/non_ha_l_ciel_cotanti_lumi/pdf/non_ha_l_ciel_cotanti_lumi_O_T.pdf</v>
      </c>
      <c r="AB575" s="0" t="str">
        <f aca="false">HYPERLINK("http://lutemusic.org/composers/Caccini/songs/non_ha_l_ciel_cotanti_lumi/midi/non_ha_l_ciel_cotanti_lumi_O_T.mid")</f>
        <v>http://lutemusic.org/composers/Caccini/songs/non_ha_l_ciel_cotanti_lumi/midi/non_ha_l_ciel_cotanti_lumi_O_T.mid</v>
      </c>
      <c r="AC575" s="0" t="n">
        <v>1573937409</v>
      </c>
      <c r="AD575" s="0" t="n">
        <v>1586042063</v>
      </c>
    </row>
    <row r="576" customFormat="false" ht="12.8" hidden="false" customHeight="false" outlineLevel="0" collapsed="false">
      <c r="A576" s="0" t="s">
        <v>1086</v>
      </c>
      <c r="C576" s="0" t="s">
        <v>1075</v>
      </c>
      <c r="E576" s="0" t="s">
        <v>1087</v>
      </c>
      <c r="F576" s="0" t="s">
        <v>1088</v>
      </c>
      <c r="H576" s="0" t="n">
        <v>1614</v>
      </c>
      <c r="I576" s="0" t="s">
        <v>1089</v>
      </c>
      <c r="J576" s="0" t="s">
        <v>36</v>
      </c>
      <c r="K576" s="0" t="s">
        <v>36</v>
      </c>
      <c r="L576" s="0" t="s">
        <v>36</v>
      </c>
      <c r="P576" s="0" t="s">
        <v>1086</v>
      </c>
      <c r="R576" s="0" t="s">
        <v>51</v>
      </c>
      <c r="S576" s="0" t="s">
        <v>119</v>
      </c>
      <c r="T576" s="0" t="n">
        <v>3</v>
      </c>
      <c r="U576" s="0" t="s">
        <v>990</v>
      </c>
      <c r="V576" s="0" t="s">
        <v>63</v>
      </c>
      <c r="Z576" s="0" t="str">
        <f aca="false">HYPERLINK("http://lutemusic.org/composers/Caccini/songs/non_ha_l_ciel_cotanti_lumi/non_ha_l_ciel_cotanti_lumi_T.ft3")</f>
        <v>http://lutemusic.org/composers/Caccini/songs/non_ha_l_ciel_cotanti_lumi/non_ha_l_ciel_cotanti_lumi_T.ft3</v>
      </c>
      <c r="AA576" s="0" t="str">
        <f aca="false">HYPERLINK("http://lutemusic.org/composers/Caccini/songs/non_ha_l_ciel_cotanti_lumi/pdf/non_ha_l_ciel_cotanti_lumi_T.pdf")</f>
        <v>http://lutemusic.org/composers/Caccini/songs/non_ha_l_ciel_cotanti_lumi/pdf/non_ha_l_ciel_cotanti_lumi_T.pdf</v>
      </c>
      <c r="AB576" s="0" t="str">
        <f aca="false">HYPERLINK("http://lutemusic.org/composers/Caccini/songs/non_ha_l_ciel_cotanti_lumi/midi/non_ha_l_ciel_cotanti_lumi_T.mid")</f>
        <v>http://lutemusic.org/composers/Caccini/songs/non_ha_l_ciel_cotanti_lumi/midi/non_ha_l_ciel_cotanti_lumi_T.mid</v>
      </c>
      <c r="AC576" s="0" t="n">
        <v>1573937409</v>
      </c>
      <c r="AD576" s="0" t="n">
        <v>1586042063</v>
      </c>
    </row>
    <row r="577" customFormat="false" ht="12.8" hidden="false" customHeight="false" outlineLevel="0" collapsed="false">
      <c r="A577" s="0" t="s">
        <v>1086</v>
      </c>
      <c r="C577" s="0" t="s">
        <v>1075</v>
      </c>
      <c r="E577" s="0" t="s">
        <v>1087</v>
      </c>
      <c r="F577" s="0" t="s">
        <v>1088</v>
      </c>
      <c r="H577" s="0" t="n">
        <v>1614</v>
      </c>
      <c r="I577" s="0" t="s">
        <v>1089</v>
      </c>
      <c r="J577" s="0" t="s">
        <v>36</v>
      </c>
      <c r="K577" s="0" t="s">
        <v>36</v>
      </c>
      <c r="L577" s="0" t="s">
        <v>36</v>
      </c>
      <c r="P577" s="0" t="s">
        <v>1086</v>
      </c>
      <c r="R577" s="0" t="s">
        <v>51</v>
      </c>
      <c r="S577" s="0" t="s">
        <v>119</v>
      </c>
      <c r="T577" s="0" t="n">
        <v>3</v>
      </c>
      <c r="U577" s="0" t="s">
        <v>990</v>
      </c>
      <c r="V577" s="0" t="s">
        <v>40</v>
      </c>
      <c r="Z577" s="0" t="str">
        <f aca="false">HYPERLINK("http://lutemusic.org/composers/Caccini/songs/non_ha_l_ciel_cotanti_lumi/non_ha_l_ciel_cotanti_lumi_VT.ft3")</f>
        <v>http://lutemusic.org/composers/Caccini/songs/non_ha_l_ciel_cotanti_lumi/non_ha_l_ciel_cotanti_lumi_VT.ft3</v>
      </c>
      <c r="AA577" s="0" t="str">
        <f aca="false">HYPERLINK("http://lutemusic.org/composers/Caccini/songs/non_ha_l_ciel_cotanti_lumi/pdf/non_ha_l_ciel_cotanti_lumi_VT.pdf")</f>
        <v>http://lutemusic.org/composers/Caccini/songs/non_ha_l_ciel_cotanti_lumi/pdf/non_ha_l_ciel_cotanti_lumi_VT.pdf</v>
      </c>
      <c r="AB577" s="0" t="str">
        <f aca="false">HYPERLINK("http://lutemusic.org/composers/Caccini/songs/non_ha_l_ciel_cotanti_lumi/midi/non_ha_l_ciel_cotanti_lumi_VT.mid")</f>
        <v>http://lutemusic.org/composers/Caccini/songs/non_ha_l_ciel_cotanti_lumi/midi/non_ha_l_ciel_cotanti_lumi_VT.mid</v>
      </c>
      <c r="AC577" s="0" t="n">
        <v>1573937409</v>
      </c>
      <c r="AD577" s="0" t="n">
        <v>1586042063</v>
      </c>
    </row>
    <row r="578" customFormat="false" ht="12.8" hidden="false" customHeight="false" outlineLevel="0" collapsed="false">
      <c r="A578" s="0" t="s">
        <v>1090</v>
      </c>
      <c r="C578" s="0" t="s">
        <v>1075</v>
      </c>
      <c r="E578" s="0" t="s">
        <v>1075</v>
      </c>
      <c r="F578" s="0" t="s">
        <v>1076</v>
      </c>
      <c r="H578" s="0" t="n">
        <v>1614</v>
      </c>
      <c r="I578" s="0" t="s">
        <v>1091</v>
      </c>
      <c r="J578" s="0" t="s">
        <v>36</v>
      </c>
      <c r="K578" s="0" t="s">
        <v>36</v>
      </c>
      <c r="L578" s="0" t="s">
        <v>36</v>
      </c>
      <c r="P578" s="0" t="s">
        <v>1090</v>
      </c>
      <c r="R578" s="0" t="s">
        <v>51</v>
      </c>
      <c r="S578" s="0" t="s">
        <v>49</v>
      </c>
      <c r="T578" s="0" t="n">
        <v>3</v>
      </c>
      <c r="U578" s="0" t="s">
        <v>1077</v>
      </c>
      <c r="V578" s="0" t="s">
        <v>41</v>
      </c>
      <c r="Z578" s="0" t="str">
        <f aca="false">HYPERLINK("http://lutemusic.org/composers/Caccini/songs/pien_d_amoroso_affetto/pien_d_amoroso_affetto_T.ft3")</f>
        <v>http://lutemusic.org/composers/Caccini/songs/pien_d_amoroso_affetto/pien_d_amoroso_affetto_T.ft3</v>
      </c>
      <c r="AA578" s="0" t="str">
        <f aca="false">HYPERLINK("http://lutemusic.org/composers/Caccini/songs/pien_d_amoroso_affetto/pdf/pien_d_amoroso_affetto_T.pdf")</f>
        <v>http://lutemusic.org/composers/Caccini/songs/pien_d_amoroso_affetto/pdf/pien_d_amoroso_affetto_T.pdf</v>
      </c>
      <c r="AB578" s="0" t="str">
        <f aca="false">HYPERLINK("http://lutemusic.org/composers/Caccini/songs/pien_d_amoroso_affetto/midi/pien_d_amoroso_affetto_T.mid")</f>
        <v>http://lutemusic.org/composers/Caccini/songs/pien_d_amoroso_affetto/midi/pien_d_amoroso_affetto_T.mid</v>
      </c>
      <c r="AC578" s="0" t="n">
        <v>1573937409</v>
      </c>
      <c r="AD578" s="0" t="n">
        <v>1586042063</v>
      </c>
    </row>
    <row r="579" customFormat="false" ht="12.8" hidden="false" customHeight="false" outlineLevel="0" collapsed="false">
      <c r="A579" s="0" t="s">
        <v>1090</v>
      </c>
      <c r="C579" s="0" t="s">
        <v>1075</v>
      </c>
      <c r="E579" s="0" t="s">
        <v>1075</v>
      </c>
      <c r="F579" s="0" t="s">
        <v>1076</v>
      </c>
      <c r="H579" s="0" t="n">
        <v>1614</v>
      </c>
      <c r="I579" s="0" t="s">
        <v>1091</v>
      </c>
      <c r="J579" s="0" t="s">
        <v>36</v>
      </c>
      <c r="K579" s="0" t="s">
        <v>36</v>
      </c>
      <c r="L579" s="0" t="s">
        <v>36</v>
      </c>
      <c r="P579" s="0" t="s">
        <v>1090</v>
      </c>
      <c r="R579" s="0" t="s">
        <v>51</v>
      </c>
      <c r="S579" s="0" t="s">
        <v>49</v>
      </c>
      <c r="T579" s="0" t="n">
        <v>3</v>
      </c>
      <c r="U579" s="0" t="s">
        <v>620</v>
      </c>
      <c r="V579" s="0" t="s">
        <v>1092</v>
      </c>
      <c r="Z579" s="0" t="str">
        <f aca="false">HYPERLINK("http://lutemusic.org/composers/Caccini/songs/pien_d_amoroso_affetto/pien_d_amoroso_affetto_V.ft3")</f>
        <v>http://lutemusic.org/composers/Caccini/songs/pien_d_amoroso_affetto/pien_d_amoroso_affetto_V.ft3</v>
      </c>
      <c r="AA579" s="0" t="str">
        <f aca="false">HYPERLINK("http://lutemusic.org/composers/Caccini/songs/pien_d_amoroso_affetto/pdf/pien_d_amoroso_affetto_V.pdf")</f>
        <v>http://lutemusic.org/composers/Caccini/songs/pien_d_amoroso_affetto/pdf/pien_d_amoroso_affetto_V.pdf</v>
      </c>
      <c r="AB579" s="0" t="str">
        <f aca="false">HYPERLINK("http://lutemusic.org/composers/Caccini/songs/pien_d_amoroso_affetto/midi/pien_d_amoroso_affetto_V.mid")</f>
        <v>http://lutemusic.org/composers/Caccini/songs/pien_d_amoroso_affetto/midi/pien_d_amoroso_affetto_V.mid</v>
      </c>
      <c r="AC579" s="0" t="n">
        <v>1573937409</v>
      </c>
      <c r="AD579" s="0" t="n">
        <v>1586042063</v>
      </c>
    </row>
    <row r="580" customFormat="false" ht="12.8" hidden="false" customHeight="false" outlineLevel="0" collapsed="false">
      <c r="A580" s="0" t="s">
        <v>1090</v>
      </c>
      <c r="C580" s="0" t="s">
        <v>1075</v>
      </c>
      <c r="E580" s="0" t="s">
        <v>1075</v>
      </c>
      <c r="F580" s="0" t="s">
        <v>1076</v>
      </c>
      <c r="H580" s="0" t="n">
        <v>1614</v>
      </c>
      <c r="I580" s="0" t="s">
        <v>1091</v>
      </c>
      <c r="J580" s="0" t="s">
        <v>36</v>
      </c>
      <c r="K580" s="0" t="s">
        <v>36</v>
      </c>
      <c r="L580" s="0" t="s">
        <v>36</v>
      </c>
      <c r="P580" s="0" t="s">
        <v>1090</v>
      </c>
      <c r="R580" s="0" t="s">
        <v>51</v>
      </c>
      <c r="S580" s="0" t="s">
        <v>49</v>
      </c>
      <c r="T580" s="0" t="n">
        <v>3</v>
      </c>
      <c r="U580" s="0" t="s">
        <v>1077</v>
      </c>
      <c r="V580" s="0" t="s">
        <v>40</v>
      </c>
      <c r="Z580" s="0" t="str">
        <f aca="false">HYPERLINK("http://lutemusic.org/composers/Caccini/songs/pien_d_amoroso_affetto/pien_d_amoroso_affetto_VTP.ft3")</f>
        <v>http://lutemusic.org/composers/Caccini/songs/pien_d_amoroso_affetto/pien_d_amoroso_affetto_VTP.ft3</v>
      </c>
      <c r="AA580" s="0" t="str">
        <f aca="false">HYPERLINK("http://lutemusic.org/composers/Caccini/songs/pien_d_amoroso_affetto/pdf/pien_d_amoroso_affetto_VTP.pdf")</f>
        <v>http://lutemusic.org/composers/Caccini/songs/pien_d_amoroso_affetto/pdf/pien_d_amoroso_affetto_VTP.pdf</v>
      </c>
      <c r="AB580" s="0" t="str">
        <f aca="false">HYPERLINK("http://lutemusic.org/composers/Caccini/songs/pien_d_amoroso_affetto/midi/pien_d_amoroso_affetto_VTP.mid")</f>
        <v>http://lutemusic.org/composers/Caccini/songs/pien_d_amoroso_affetto/midi/pien_d_amoroso_affetto_VTP.mid</v>
      </c>
      <c r="AC580" s="0" t="n">
        <v>1573937409</v>
      </c>
      <c r="AD580" s="0" t="n">
        <v>1586042063</v>
      </c>
    </row>
    <row r="581" customFormat="false" ht="12.8" hidden="false" customHeight="false" outlineLevel="0" collapsed="false">
      <c r="A581" s="0" t="s">
        <v>1093</v>
      </c>
      <c r="C581" s="0" t="s">
        <v>1094</v>
      </c>
      <c r="E581" s="0" t="s">
        <v>1094</v>
      </c>
      <c r="F581" s="0" t="s">
        <v>69</v>
      </c>
      <c r="H581" s="0" t="n">
        <v>1707</v>
      </c>
      <c r="J581" s="0" t="s">
        <v>36</v>
      </c>
      <c r="K581" s="0" t="s">
        <v>36</v>
      </c>
      <c r="L581" s="0" t="s">
        <v>36</v>
      </c>
      <c r="P581" s="0" t="s">
        <v>1093</v>
      </c>
      <c r="R581" s="0" t="s">
        <v>556</v>
      </c>
      <c r="S581" s="0" t="s">
        <v>62</v>
      </c>
      <c r="T581" s="0" t="n">
        <v>3</v>
      </c>
      <c r="U581" s="0" t="s">
        <v>620</v>
      </c>
      <c r="V581" s="0" t="s">
        <v>40</v>
      </c>
      <c r="Z581" s="0" t="str">
        <f aca="false">HYPERLINK("http://lutemusic.org/composers/Caldara/come_raggio_del_sol_D.ft3")</f>
        <v>http://lutemusic.org/composers/Caldara/come_raggio_del_sol_D.ft3</v>
      </c>
      <c r="AA581" s="0" t="str">
        <f aca="false">HYPERLINK("http://lutemusic.org/composers/Caldara/pdf/come_raggio_del_sol_D.pdf")</f>
        <v>http://lutemusic.org/composers/Caldara/pdf/come_raggio_del_sol_D.pdf</v>
      </c>
      <c r="AB581" s="0" t="str">
        <f aca="false">HYPERLINK("http://lutemusic.org/composers/Caldara/midi/come_raggio_del_sol_D.mid")</f>
        <v>http://lutemusic.org/composers/Caldara/midi/come_raggio_del_sol_D.mid</v>
      </c>
      <c r="AC581" s="0" t="n">
        <v>1573937409</v>
      </c>
      <c r="AD581" s="0" t="n">
        <v>1586042063</v>
      </c>
    </row>
    <row r="582" customFormat="false" ht="12.8" hidden="false" customHeight="false" outlineLevel="0" collapsed="false">
      <c r="A582" s="0" t="s">
        <v>1093</v>
      </c>
      <c r="C582" s="0" t="s">
        <v>1094</v>
      </c>
      <c r="E582" s="0" t="s">
        <v>1094</v>
      </c>
      <c r="F582" s="0" t="s">
        <v>69</v>
      </c>
      <c r="H582" s="0" t="n">
        <v>1707</v>
      </c>
      <c r="J582" s="0" t="s">
        <v>36</v>
      </c>
      <c r="K582" s="0" t="s">
        <v>36</v>
      </c>
      <c r="L582" s="0" t="s">
        <v>36</v>
      </c>
      <c r="P582" s="0" t="s">
        <v>1093</v>
      </c>
      <c r="R582" s="0" t="s">
        <v>556</v>
      </c>
      <c r="S582" s="0" t="s">
        <v>62</v>
      </c>
      <c r="T582" s="0" t="n">
        <v>3</v>
      </c>
      <c r="U582" s="0" t="s">
        <v>620</v>
      </c>
      <c r="V582" s="0" t="s">
        <v>143</v>
      </c>
      <c r="Z582" s="0" t="str">
        <f aca="false">HYPERLINK("http://lutemusic.org/composers/Caldara/come_raggio_del_sol_D_T.ft3")</f>
        <v>http://lutemusic.org/composers/Caldara/come_raggio_del_sol_D_T.ft3</v>
      </c>
      <c r="AA582" s="0" t="str">
        <f aca="false">HYPERLINK("http://lutemusic.org/composers/Caldara/pdf/come_raggio_del_sol_D_T.pdf")</f>
        <v>http://lutemusic.org/composers/Caldara/pdf/come_raggio_del_sol_D_T.pdf</v>
      </c>
      <c r="AB582" s="0" t="str">
        <f aca="false">HYPERLINK("http://lutemusic.org/composers/Caldara/midi/come_raggio_del_sol_D_T.mid")</f>
        <v>http://lutemusic.org/composers/Caldara/midi/come_raggio_del_sol_D_T.mid</v>
      </c>
      <c r="AC582" s="0" t="n">
        <v>1573937409</v>
      </c>
      <c r="AD582" s="0" t="n">
        <v>1586042063</v>
      </c>
    </row>
    <row r="583" customFormat="false" ht="12.8" hidden="false" customHeight="false" outlineLevel="0" collapsed="false">
      <c r="A583" s="0" t="s">
        <v>1093</v>
      </c>
      <c r="C583" s="0" t="s">
        <v>1094</v>
      </c>
      <c r="E583" s="0" t="s">
        <v>1094</v>
      </c>
      <c r="F583" s="0" t="s">
        <v>69</v>
      </c>
      <c r="H583" s="0" t="n">
        <v>1707</v>
      </c>
      <c r="J583" s="0" t="s">
        <v>36</v>
      </c>
      <c r="K583" s="0" t="s">
        <v>36</v>
      </c>
      <c r="L583" s="0" t="s">
        <v>36</v>
      </c>
      <c r="P583" s="0" t="s">
        <v>1093</v>
      </c>
      <c r="R583" s="0" t="s">
        <v>556</v>
      </c>
      <c r="S583" s="0" t="s">
        <v>119</v>
      </c>
      <c r="T583" s="0" t="n">
        <v>3</v>
      </c>
      <c r="U583" s="0" t="s">
        <v>1083</v>
      </c>
      <c r="V583" s="0" t="s">
        <v>40</v>
      </c>
      <c r="Z583" s="0" t="str">
        <f aca="false">HYPERLINK("http://lutemusic.org/composers/Caldara/come_raggio_del_sol_G.ft3")</f>
        <v>http://lutemusic.org/composers/Caldara/come_raggio_del_sol_G.ft3</v>
      </c>
      <c r="AA583" s="0" t="str">
        <f aca="false">HYPERLINK("http://lutemusic.org/composers/Caldara/pdf/come_raggio_del_sol_G.pdf")</f>
        <v>http://lutemusic.org/composers/Caldara/pdf/come_raggio_del_sol_G.pdf</v>
      </c>
      <c r="AB583" s="0" t="str">
        <f aca="false">HYPERLINK("http://lutemusic.org/composers/Caldara/midi/come_raggio_del_sol_G.mid")</f>
        <v>http://lutemusic.org/composers/Caldara/midi/come_raggio_del_sol_G.mid</v>
      </c>
      <c r="AC583" s="0" t="n">
        <v>1573937409</v>
      </c>
      <c r="AD583" s="0" t="n">
        <v>1586042063</v>
      </c>
    </row>
    <row r="584" customFormat="false" ht="12.8" hidden="false" customHeight="false" outlineLevel="0" collapsed="false">
      <c r="A584" s="0" t="s">
        <v>1093</v>
      </c>
      <c r="C584" s="0" t="s">
        <v>1094</v>
      </c>
      <c r="E584" s="0" t="s">
        <v>1094</v>
      </c>
      <c r="F584" s="0" t="s">
        <v>69</v>
      </c>
      <c r="H584" s="0" t="n">
        <v>1707</v>
      </c>
      <c r="J584" s="0" t="s">
        <v>36</v>
      </c>
      <c r="K584" s="0" t="s">
        <v>36</v>
      </c>
      <c r="L584" s="0" t="s">
        <v>36</v>
      </c>
      <c r="P584" s="0" t="s">
        <v>1093</v>
      </c>
      <c r="R584" s="0" t="s">
        <v>556</v>
      </c>
      <c r="S584" s="0" t="s">
        <v>119</v>
      </c>
      <c r="T584" s="0" t="n">
        <v>3</v>
      </c>
      <c r="U584" s="0" t="s">
        <v>1083</v>
      </c>
      <c r="V584" s="0" t="s">
        <v>143</v>
      </c>
      <c r="Z584" s="0" t="str">
        <f aca="false">HYPERLINK("http://lutemusic.org/composers/Caldara/come_raggio_del_sol_G_T.ft3")</f>
        <v>http://lutemusic.org/composers/Caldara/come_raggio_del_sol_G_T.ft3</v>
      </c>
      <c r="AA584" s="0" t="str">
        <f aca="false">HYPERLINK("http://lutemusic.org/composers/Caldara/pdf/come_raggio_del_sol_G_T.pdf")</f>
        <v>http://lutemusic.org/composers/Caldara/pdf/come_raggio_del_sol_G_T.pdf</v>
      </c>
      <c r="AB584" s="0" t="str">
        <f aca="false">HYPERLINK("http://lutemusic.org/composers/Caldara/midi/come_raggio_del_sol_G_T.mid")</f>
        <v>http://lutemusic.org/composers/Caldara/midi/come_raggio_del_sol_G_T.mid</v>
      </c>
      <c r="AC584" s="0" t="n">
        <v>1573937409</v>
      </c>
      <c r="AD584" s="0" t="n">
        <v>1586042063</v>
      </c>
    </row>
    <row r="585" customFormat="false" ht="12.8" hidden="false" customHeight="false" outlineLevel="0" collapsed="false">
      <c r="A585" s="0" t="s">
        <v>1095</v>
      </c>
      <c r="C585" s="0" t="s">
        <v>1096</v>
      </c>
      <c r="E585" s="0" t="s">
        <v>1096</v>
      </c>
      <c r="F585" s="0" t="s">
        <v>614</v>
      </c>
      <c r="H585" s="0" t="n">
        <v>1613</v>
      </c>
      <c r="I585" s="0" t="s">
        <v>1097</v>
      </c>
      <c r="J585" s="0" t="s">
        <v>36</v>
      </c>
      <c r="K585" s="0" t="s">
        <v>36</v>
      </c>
      <c r="P585" s="0" t="s">
        <v>1095</v>
      </c>
      <c r="R585" s="0" t="s">
        <v>1098</v>
      </c>
      <c r="S585" s="0" t="s">
        <v>119</v>
      </c>
      <c r="T585" s="0" t="n">
        <v>3</v>
      </c>
      <c r="U585" s="0" t="s">
        <v>1099</v>
      </c>
      <c r="V585" s="0" t="s">
        <v>990</v>
      </c>
      <c r="Z585" s="0" t="str">
        <f aca="false">HYPERLINK("http://lutemusic.org/composers/Campion/songs/book_1/01_author_of_light/01_author_of_light.ft3")</f>
        <v>http://lutemusic.org/composers/Campion/songs/book_1/01_author_of_light/01_author_of_light.ft3</v>
      </c>
      <c r="AA585" s="0" t="str">
        <f aca="false">HYPERLINK("http://lutemusic.org/composers/Campion/songs/book_1/01_author_of_light/pdf/01_author_of_light.pdf")</f>
        <v>http://lutemusic.org/composers/Campion/songs/book_1/01_author_of_light/pdf/01_author_of_light.pdf</v>
      </c>
      <c r="AB585" s="0" t="str">
        <f aca="false">HYPERLINK("http://lutemusic.org/composers/Campion/songs/book_1/01_author_of_light/midi/01_author_of_light.mid")</f>
        <v>http://lutemusic.org/composers/Campion/songs/book_1/01_author_of_light/midi/01_author_of_light.mid</v>
      </c>
      <c r="AC585" s="0" t="n">
        <v>1573937409</v>
      </c>
      <c r="AD585" s="0" t="n">
        <v>1586042063</v>
      </c>
    </row>
    <row r="586" customFormat="false" ht="12.8" hidden="false" customHeight="false" outlineLevel="0" collapsed="false">
      <c r="A586" s="0" t="s">
        <v>1095</v>
      </c>
      <c r="C586" s="0" t="s">
        <v>1096</v>
      </c>
      <c r="E586" s="0" t="s">
        <v>1096</v>
      </c>
      <c r="F586" s="0" t="s">
        <v>614</v>
      </c>
      <c r="H586" s="0" t="n">
        <v>1613</v>
      </c>
      <c r="I586" s="0" t="s">
        <v>1097</v>
      </c>
      <c r="J586" s="0" t="s">
        <v>36</v>
      </c>
      <c r="K586" s="0" t="s">
        <v>36</v>
      </c>
      <c r="P586" s="0" t="s">
        <v>1095</v>
      </c>
      <c r="R586" s="0" t="s">
        <v>1098</v>
      </c>
      <c r="S586" s="0" t="s">
        <v>119</v>
      </c>
      <c r="T586" s="0" t="n">
        <v>3</v>
      </c>
      <c r="U586" s="0" t="s">
        <v>1099</v>
      </c>
      <c r="V586" s="0" t="s">
        <v>535</v>
      </c>
      <c r="Z586" s="0" t="str">
        <f aca="false">HYPERLINK("http://lutemusic.org/composers/Campion/songs/book_1/01_author_of_light/01_author_of_light_4.ft3")</f>
        <v>http://lutemusic.org/composers/Campion/songs/book_1/01_author_of_light/01_author_of_light_4.ft3</v>
      </c>
      <c r="AA586" s="0" t="str">
        <f aca="false">HYPERLINK("http://lutemusic.org/composers/Campion/songs/book_1/01_author_of_light/pdf/01_author_of_light_4.pdf")</f>
        <v>http://lutemusic.org/composers/Campion/songs/book_1/01_author_of_light/pdf/01_author_of_light_4.pdf</v>
      </c>
      <c r="AB586" s="0" t="str">
        <f aca="false">HYPERLINK("http://lutemusic.org/composers/Campion/songs/book_1/01_author_of_light/midi/01_author_of_light_4.mid")</f>
        <v>http://lutemusic.org/composers/Campion/songs/book_1/01_author_of_light/midi/01_author_of_light_4.mid</v>
      </c>
      <c r="AC586" s="0" t="n">
        <v>1573937409</v>
      </c>
      <c r="AD586" s="0" t="n">
        <v>1586042063</v>
      </c>
    </row>
    <row r="587" customFormat="false" ht="12.8" hidden="false" customHeight="false" outlineLevel="0" collapsed="false">
      <c r="A587" s="0" t="s">
        <v>1095</v>
      </c>
      <c r="C587" s="0" t="s">
        <v>1096</v>
      </c>
      <c r="E587" s="0" t="s">
        <v>1096</v>
      </c>
      <c r="F587" s="0" t="s">
        <v>614</v>
      </c>
      <c r="H587" s="0" t="n">
        <v>1613</v>
      </c>
      <c r="I587" s="0" t="s">
        <v>1097</v>
      </c>
      <c r="J587" s="0" t="s">
        <v>36</v>
      </c>
      <c r="K587" s="0" t="s">
        <v>36</v>
      </c>
      <c r="P587" s="0" t="s">
        <v>1095</v>
      </c>
      <c r="R587" s="0" t="s">
        <v>1098</v>
      </c>
      <c r="S587" s="0" t="s">
        <v>119</v>
      </c>
      <c r="T587" s="0" t="n">
        <v>3</v>
      </c>
      <c r="U587" s="0" t="s">
        <v>1099</v>
      </c>
      <c r="V587" s="0" t="s">
        <v>40</v>
      </c>
      <c r="Z587" s="0" t="str">
        <f aca="false">HYPERLINK("http://lutemusic.org/composers/Campion/songs/book_1/01_author_of_light/01_author_of_light_S.ft3")</f>
        <v>http://lutemusic.org/composers/Campion/songs/book_1/01_author_of_light/01_author_of_light_S.ft3</v>
      </c>
      <c r="AA587" s="0" t="str">
        <f aca="false">HYPERLINK("http://lutemusic.org/composers/Campion/songs/book_1/01_author_of_light/pdf/01_author_of_light_S.pdf")</f>
        <v>http://lutemusic.org/composers/Campion/songs/book_1/01_author_of_light/pdf/01_author_of_light_S.pdf</v>
      </c>
      <c r="AB587" s="0" t="str">
        <f aca="false">HYPERLINK("http://lutemusic.org/composers/Campion/songs/book_1/01_author_of_light/midi/01_author_of_light_S.mid")</f>
        <v>http://lutemusic.org/composers/Campion/songs/book_1/01_author_of_light/midi/01_author_of_light_S.mid</v>
      </c>
      <c r="AC587" s="0" t="n">
        <v>1573937409</v>
      </c>
      <c r="AD587" s="0" t="n">
        <v>1586042063</v>
      </c>
    </row>
    <row r="588" customFormat="false" ht="12.8" hidden="false" customHeight="false" outlineLevel="0" collapsed="false">
      <c r="A588" s="0" t="s">
        <v>1095</v>
      </c>
      <c r="C588" s="0" t="s">
        <v>1096</v>
      </c>
      <c r="E588" s="0" t="s">
        <v>1096</v>
      </c>
      <c r="F588" s="0" t="s">
        <v>614</v>
      </c>
      <c r="H588" s="0" t="n">
        <v>1613</v>
      </c>
      <c r="I588" s="0" t="s">
        <v>1097</v>
      </c>
      <c r="J588" s="0" t="s">
        <v>36</v>
      </c>
      <c r="K588" s="0" t="s">
        <v>36</v>
      </c>
      <c r="P588" s="0" t="s">
        <v>1095</v>
      </c>
      <c r="R588" s="0" t="s">
        <v>1098</v>
      </c>
      <c r="S588" s="0" t="s">
        <v>119</v>
      </c>
      <c r="T588" s="0" t="n">
        <v>3</v>
      </c>
      <c r="U588" s="0" t="s">
        <v>1099</v>
      </c>
      <c r="V588" s="0" t="s">
        <v>63</v>
      </c>
      <c r="Z588" s="0" t="str">
        <f aca="false">HYPERLINK("http://lutemusic.org/composers/Campion/songs/book_1/01_author_of_light/01_author_of_light_T.ft3")</f>
        <v>http://lutemusic.org/composers/Campion/songs/book_1/01_author_of_light/01_author_of_light_T.ft3</v>
      </c>
      <c r="AA588" s="0" t="str">
        <f aca="false">HYPERLINK("http://lutemusic.org/composers/Campion/songs/book_1/01_author_of_light/pdf/01_author_of_light_T.pdf")</f>
        <v>http://lutemusic.org/composers/Campion/songs/book_1/01_author_of_light/pdf/01_author_of_light_T.pdf</v>
      </c>
      <c r="AB588" s="0" t="str">
        <f aca="false">HYPERLINK("http://lutemusic.org/composers/Campion/songs/book_1/01_author_of_light/midi/01_author_of_light_T.mid")</f>
        <v>http://lutemusic.org/composers/Campion/songs/book_1/01_author_of_light/midi/01_author_of_light_T.mid</v>
      </c>
      <c r="AC588" s="0" t="n">
        <v>1573937409</v>
      </c>
      <c r="AD588" s="0" t="n">
        <v>1586042063</v>
      </c>
    </row>
    <row r="589" customFormat="false" ht="12.8" hidden="false" customHeight="false" outlineLevel="0" collapsed="false">
      <c r="A589" s="0" t="s">
        <v>1095</v>
      </c>
      <c r="C589" s="0" t="s">
        <v>1096</v>
      </c>
      <c r="E589" s="0" t="s">
        <v>1096</v>
      </c>
      <c r="F589" s="0" t="s">
        <v>614</v>
      </c>
      <c r="H589" s="0" t="n">
        <v>1613</v>
      </c>
      <c r="I589" s="0" t="s">
        <v>1097</v>
      </c>
      <c r="J589" s="0" t="s">
        <v>36</v>
      </c>
      <c r="K589" s="0" t="s">
        <v>36</v>
      </c>
      <c r="P589" s="0" t="s">
        <v>1095</v>
      </c>
      <c r="R589" s="0" t="s">
        <v>1098</v>
      </c>
      <c r="S589" s="0" t="s">
        <v>119</v>
      </c>
      <c r="T589" s="0" t="n">
        <v>3</v>
      </c>
      <c r="U589" s="0" t="s">
        <v>1099</v>
      </c>
      <c r="V589" s="0" t="s">
        <v>1100</v>
      </c>
      <c r="Z589" s="0" t="str">
        <f aca="false">HYPERLINK("http://lutemusic.org/composers/Campion/songs/book_1/01_author_of_light/01_author_of_light_VB.ft3")</f>
        <v>http://lutemusic.org/composers/Campion/songs/book_1/01_author_of_light/01_author_of_light_VB.ft3</v>
      </c>
      <c r="AA589" s="0" t="str">
        <f aca="false">HYPERLINK("http://lutemusic.org/composers/Campion/songs/book_1/01_author_of_light/pdf/01_author_of_light_VB.pdf")</f>
        <v>http://lutemusic.org/composers/Campion/songs/book_1/01_author_of_light/pdf/01_author_of_light_VB.pdf</v>
      </c>
      <c r="AB589" s="0" t="str">
        <f aca="false">HYPERLINK("http://lutemusic.org/composers/Campion/songs/book_1/01_author_of_light/midi/01_author_of_light_VB.mid")</f>
        <v>http://lutemusic.org/composers/Campion/songs/book_1/01_author_of_light/midi/01_author_of_light_VB.mid</v>
      </c>
      <c r="AC589" s="0" t="n">
        <v>1573937409</v>
      </c>
      <c r="AD589" s="0" t="n">
        <v>1586042063</v>
      </c>
    </row>
    <row r="590" customFormat="false" ht="12.8" hidden="false" customHeight="false" outlineLevel="0" collapsed="false">
      <c r="A590" s="0" t="s">
        <v>1101</v>
      </c>
      <c r="C590" s="0" t="s">
        <v>1096</v>
      </c>
      <c r="E590" s="0" t="s">
        <v>1096</v>
      </c>
      <c r="F590" s="0" t="s">
        <v>614</v>
      </c>
      <c r="H590" s="0" t="n">
        <v>1613</v>
      </c>
      <c r="I590" s="0" t="s">
        <v>866</v>
      </c>
      <c r="J590" s="0" t="s">
        <v>36</v>
      </c>
      <c r="K590" s="0" t="s">
        <v>36</v>
      </c>
      <c r="P590" s="0" t="s">
        <v>1101</v>
      </c>
      <c r="R590" s="0" t="s">
        <v>1098</v>
      </c>
      <c r="S590" s="0" t="s">
        <v>38</v>
      </c>
      <c r="T590" s="0" t="n">
        <v>2</v>
      </c>
      <c r="U590" s="0" t="s">
        <v>1099</v>
      </c>
      <c r="V590" s="0" t="s">
        <v>990</v>
      </c>
      <c r="Z590" s="0" t="str">
        <f aca="false">HYPERLINK("http://lutemusic.org/composers/Campion/songs/book_1/02_the_man_of_life_upright/the_man_of_life_upright.ft3")</f>
        <v>http://lutemusic.org/composers/Campion/songs/book_1/02_the_man_of_life_upright/the_man_of_life_upright.ft3</v>
      </c>
      <c r="AA590" s="0" t="str">
        <f aca="false">HYPERLINK("http://lutemusic.org/composers/Campion/songs/book_1/02_the_man_of_life_upright/pdf/the_man_of_life_upright.pdf")</f>
        <v>http://lutemusic.org/composers/Campion/songs/book_1/02_the_man_of_life_upright/pdf/the_man_of_life_upright.pdf</v>
      </c>
      <c r="AB590" s="0" t="str">
        <f aca="false">HYPERLINK("http://lutemusic.org/composers/Campion/songs/book_1/02_the_man_of_life_upright/midi/the_man_of_life_upright.mid")</f>
        <v>http://lutemusic.org/composers/Campion/songs/book_1/02_the_man_of_life_upright/midi/the_man_of_life_upright.mid</v>
      </c>
      <c r="AC590" s="0" t="n">
        <v>1573937409</v>
      </c>
      <c r="AD590" s="0" t="n">
        <v>1586042063</v>
      </c>
    </row>
    <row r="591" customFormat="false" ht="12.8" hidden="false" customHeight="false" outlineLevel="0" collapsed="false">
      <c r="A591" s="0" t="s">
        <v>1101</v>
      </c>
      <c r="C591" s="0" t="s">
        <v>1096</v>
      </c>
      <c r="E591" s="0" t="s">
        <v>1096</v>
      </c>
      <c r="F591" s="0" t="s">
        <v>614</v>
      </c>
      <c r="H591" s="0" t="n">
        <v>1613</v>
      </c>
      <c r="I591" s="0" t="s">
        <v>866</v>
      </c>
      <c r="J591" s="0" t="s">
        <v>36</v>
      </c>
      <c r="K591" s="0" t="s">
        <v>36</v>
      </c>
      <c r="P591" s="0" t="s">
        <v>1101</v>
      </c>
      <c r="R591" s="0" t="s">
        <v>1098</v>
      </c>
      <c r="S591" s="0" t="s">
        <v>38</v>
      </c>
      <c r="T591" s="0" t="n">
        <v>2</v>
      </c>
      <c r="U591" s="0" t="s">
        <v>1099</v>
      </c>
      <c r="V591" s="0" t="s">
        <v>535</v>
      </c>
      <c r="Z591" s="0" t="str">
        <f aca="false">HYPERLINK("http://lutemusic.org/composers/Campion/songs/book_1/02_the_man_of_life_upright/the_man_of_life_upright_4.ft3")</f>
        <v>http://lutemusic.org/composers/Campion/songs/book_1/02_the_man_of_life_upright/the_man_of_life_upright_4.ft3</v>
      </c>
      <c r="AA591" s="0" t="str">
        <f aca="false">HYPERLINK("http://lutemusic.org/composers/Campion/songs/book_1/02_the_man_of_life_upright/pdf/the_man_of_life_upright_4.pdf")</f>
        <v>http://lutemusic.org/composers/Campion/songs/book_1/02_the_man_of_life_upright/pdf/the_man_of_life_upright_4.pdf</v>
      </c>
      <c r="AB591" s="0" t="str">
        <f aca="false">HYPERLINK("http://lutemusic.org/composers/Campion/songs/book_1/02_the_man_of_life_upright/midi/the_man_of_life_upright_4.mid")</f>
        <v>http://lutemusic.org/composers/Campion/songs/book_1/02_the_man_of_life_upright/midi/the_man_of_life_upright_4.mid</v>
      </c>
      <c r="AC591" s="0" t="n">
        <v>1573937409</v>
      </c>
      <c r="AD591" s="0" t="n">
        <v>1586042063</v>
      </c>
    </row>
    <row r="592" customFormat="false" ht="12.8" hidden="false" customHeight="false" outlineLevel="0" collapsed="false">
      <c r="A592" s="0" t="s">
        <v>1101</v>
      </c>
      <c r="C592" s="0" t="s">
        <v>1096</v>
      </c>
      <c r="E592" s="0" t="s">
        <v>1096</v>
      </c>
      <c r="F592" s="0" t="s">
        <v>614</v>
      </c>
      <c r="H592" s="0" t="n">
        <v>1613</v>
      </c>
      <c r="I592" s="0" t="s">
        <v>866</v>
      </c>
      <c r="J592" s="0" t="s">
        <v>36</v>
      </c>
      <c r="K592" s="0" t="s">
        <v>36</v>
      </c>
      <c r="P592" s="0" t="s">
        <v>1101</v>
      </c>
      <c r="R592" s="0" t="s">
        <v>1098</v>
      </c>
      <c r="S592" s="0" t="s">
        <v>38</v>
      </c>
      <c r="T592" s="0" t="n">
        <v>2</v>
      </c>
      <c r="U592" s="0" t="s">
        <v>1099</v>
      </c>
      <c r="V592" s="0" t="s">
        <v>40</v>
      </c>
      <c r="Z592" s="0" t="str">
        <f aca="false">HYPERLINK("http://lutemusic.org/composers/Campion/songs/book_1/02_the_man_of_life_upright/the_man_of_life_upright_S.ft3")</f>
        <v>http://lutemusic.org/composers/Campion/songs/book_1/02_the_man_of_life_upright/the_man_of_life_upright_S.ft3</v>
      </c>
      <c r="AA592" s="0" t="str">
        <f aca="false">HYPERLINK("http://lutemusic.org/composers/Campion/songs/book_1/02_the_man_of_life_upright/pdf/the_man_of_life_upright_S.pdf")</f>
        <v>http://lutemusic.org/composers/Campion/songs/book_1/02_the_man_of_life_upright/pdf/the_man_of_life_upright_S.pdf</v>
      </c>
      <c r="AB592" s="0" t="str">
        <f aca="false">HYPERLINK("http://lutemusic.org/composers/Campion/songs/book_1/02_the_man_of_life_upright/midi/the_man_of_life_upright_S.mid")</f>
        <v>http://lutemusic.org/composers/Campion/songs/book_1/02_the_man_of_life_upright/midi/the_man_of_life_upright_S.mid</v>
      </c>
      <c r="AC592" s="0" t="n">
        <v>1573937409</v>
      </c>
      <c r="AD592" s="0" t="n">
        <v>1586042063</v>
      </c>
    </row>
    <row r="593" customFormat="false" ht="12.8" hidden="false" customHeight="false" outlineLevel="0" collapsed="false">
      <c r="A593" s="0" t="s">
        <v>1101</v>
      </c>
      <c r="C593" s="0" t="s">
        <v>1096</v>
      </c>
      <c r="E593" s="0" t="s">
        <v>1096</v>
      </c>
      <c r="F593" s="0" t="s">
        <v>614</v>
      </c>
      <c r="H593" s="0" t="n">
        <v>1613</v>
      </c>
      <c r="I593" s="0" t="s">
        <v>866</v>
      </c>
      <c r="J593" s="0" t="s">
        <v>36</v>
      </c>
      <c r="K593" s="0" t="s">
        <v>36</v>
      </c>
      <c r="P593" s="0" t="s">
        <v>1101</v>
      </c>
      <c r="R593" s="0" t="s">
        <v>1098</v>
      </c>
      <c r="S593" s="0" t="s">
        <v>38</v>
      </c>
      <c r="T593" s="0" t="n">
        <v>2</v>
      </c>
      <c r="U593" s="0" t="s">
        <v>1099</v>
      </c>
      <c r="V593" s="0" t="s">
        <v>63</v>
      </c>
      <c r="Z593" s="0" t="str">
        <f aca="false">HYPERLINK("http://lutemusic.org/composers/Campion/songs/book_1/02_the_man_of_life_upright/the_man_of_life_upright_T.ft3")</f>
        <v>http://lutemusic.org/composers/Campion/songs/book_1/02_the_man_of_life_upright/the_man_of_life_upright_T.ft3</v>
      </c>
      <c r="AA593" s="0" t="str">
        <f aca="false">HYPERLINK("http://lutemusic.org/composers/Campion/songs/book_1/02_the_man_of_life_upright/pdf/the_man_of_life_upright_T.pdf")</f>
        <v>http://lutemusic.org/composers/Campion/songs/book_1/02_the_man_of_life_upright/pdf/the_man_of_life_upright_T.pdf</v>
      </c>
      <c r="AB593" s="0" t="str">
        <f aca="false">HYPERLINK("http://lutemusic.org/composers/Campion/songs/book_1/02_the_man_of_life_upright/midi/the_man_of_life_upright_T.mid")</f>
        <v>http://lutemusic.org/composers/Campion/songs/book_1/02_the_man_of_life_upright/midi/the_man_of_life_upright_T.mid</v>
      </c>
      <c r="AC593" s="0" t="n">
        <v>1573937409</v>
      </c>
      <c r="AD593" s="0" t="n">
        <v>1586042063</v>
      </c>
    </row>
    <row r="594" customFormat="false" ht="12.8" hidden="false" customHeight="false" outlineLevel="0" collapsed="false">
      <c r="A594" s="0" t="s">
        <v>1101</v>
      </c>
      <c r="C594" s="0" t="s">
        <v>1096</v>
      </c>
      <c r="E594" s="0" t="s">
        <v>1096</v>
      </c>
      <c r="F594" s="0" t="s">
        <v>614</v>
      </c>
      <c r="H594" s="0" t="n">
        <v>1613</v>
      </c>
      <c r="I594" s="0" t="s">
        <v>866</v>
      </c>
      <c r="J594" s="0" t="s">
        <v>36</v>
      </c>
      <c r="K594" s="0" t="s">
        <v>36</v>
      </c>
      <c r="P594" s="0" t="s">
        <v>1101</v>
      </c>
      <c r="R594" s="0" t="s">
        <v>1098</v>
      </c>
      <c r="S594" s="0" t="s">
        <v>38</v>
      </c>
      <c r="T594" s="0" t="n">
        <v>2</v>
      </c>
      <c r="U594" s="0" t="s">
        <v>1099</v>
      </c>
      <c r="V594" s="0" t="s">
        <v>1100</v>
      </c>
      <c r="Z594" s="0" t="str">
        <f aca="false">HYPERLINK("http://lutemusic.org/composers/Campion/songs/book_1/02_the_man_of_life_upright/the_man_of_life_upright_VB.ft3")</f>
        <v>http://lutemusic.org/composers/Campion/songs/book_1/02_the_man_of_life_upright/the_man_of_life_upright_VB.ft3</v>
      </c>
      <c r="AA594" s="0" t="str">
        <f aca="false">HYPERLINK("http://lutemusic.org/composers/Campion/songs/book_1/02_the_man_of_life_upright/pdf/the_man_of_life_upright_VB.pdf")</f>
        <v>http://lutemusic.org/composers/Campion/songs/book_1/02_the_man_of_life_upright/pdf/the_man_of_life_upright_VB.pdf</v>
      </c>
      <c r="AB594" s="0" t="str">
        <f aca="false">HYPERLINK("http://lutemusic.org/composers/Campion/songs/book_1/02_the_man_of_life_upright/midi/the_man_of_life_upright_VB.mid")</f>
        <v>http://lutemusic.org/composers/Campion/songs/book_1/02_the_man_of_life_upright/midi/the_man_of_life_upright_VB.mid</v>
      </c>
      <c r="AC594" s="0" t="n">
        <v>1573937409</v>
      </c>
      <c r="AD594" s="0" t="n">
        <v>1586042063</v>
      </c>
    </row>
    <row r="595" customFormat="false" ht="12.8" hidden="false" customHeight="false" outlineLevel="0" collapsed="false">
      <c r="A595" s="0" t="s">
        <v>1102</v>
      </c>
      <c r="C595" s="0" t="s">
        <v>1096</v>
      </c>
      <c r="E595" s="0" t="s">
        <v>1096</v>
      </c>
      <c r="F595" s="0" t="s">
        <v>614</v>
      </c>
      <c r="H595" s="0" t="n">
        <v>1613</v>
      </c>
      <c r="I595" s="0" t="s">
        <v>1103</v>
      </c>
      <c r="J595" s="0" t="s">
        <v>36</v>
      </c>
      <c r="K595" s="0" t="s">
        <v>36</v>
      </c>
      <c r="P595" s="0" t="s">
        <v>1102</v>
      </c>
      <c r="R595" s="0" t="s">
        <v>51</v>
      </c>
      <c r="S595" s="0" t="s">
        <v>119</v>
      </c>
      <c r="T595" s="0" t="n">
        <v>2</v>
      </c>
      <c r="U595" s="0" t="s">
        <v>1099</v>
      </c>
      <c r="V595" s="0" t="s">
        <v>990</v>
      </c>
      <c r="Z595" s="0" t="str">
        <f aca="false">HYPERLINK("http://lutemusic.org/composers/Campion/songs/book_1/03_where_are_all_thy_beauties_now/03_where_are_all_thy_beauties_now.ft3")</f>
        <v>http://lutemusic.org/composers/Campion/songs/book_1/03_where_are_all_thy_beauties_now/03_where_are_all_thy_beauties_now.ft3</v>
      </c>
      <c r="AA595" s="0" t="str">
        <f aca="false">HYPERLINK("http://lutemusic.org/composers/Campion/songs/book_1/03_where_are_all_thy_beauties_now/pdf/03_where_are_all_thy_beauties_now.pdf")</f>
        <v>http://lutemusic.org/composers/Campion/songs/book_1/03_where_are_all_thy_beauties_now/pdf/03_where_are_all_thy_beauties_now.pdf</v>
      </c>
      <c r="AB595" s="0" t="str">
        <f aca="false">HYPERLINK("http://lutemusic.org/composers/Campion/songs/book_1/03_where_are_all_thy_beauties_now/midi/03_where_are_all_thy_beauties_now.mid")</f>
        <v>http://lutemusic.org/composers/Campion/songs/book_1/03_where_are_all_thy_beauties_now/midi/03_where_are_all_thy_beauties_now.mid</v>
      </c>
      <c r="AC595" s="0" t="n">
        <v>1573937409</v>
      </c>
      <c r="AD595" s="0" t="n">
        <v>1586042063</v>
      </c>
    </row>
    <row r="596" customFormat="false" ht="12.8" hidden="false" customHeight="false" outlineLevel="0" collapsed="false">
      <c r="A596" s="0" t="s">
        <v>1102</v>
      </c>
      <c r="C596" s="0" t="s">
        <v>1096</v>
      </c>
      <c r="E596" s="0" t="s">
        <v>1096</v>
      </c>
      <c r="F596" s="0" t="s">
        <v>614</v>
      </c>
      <c r="H596" s="0" t="n">
        <v>1613</v>
      </c>
      <c r="I596" s="0" t="s">
        <v>1103</v>
      </c>
      <c r="J596" s="0" t="s">
        <v>36</v>
      </c>
      <c r="K596" s="0" t="s">
        <v>36</v>
      </c>
      <c r="P596" s="0" t="s">
        <v>1102</v>
      </c>
      <c r="R596" s="0" t="s">
        <v>51</v>
      </c>
      <c r="S596" s="0" t="s">
        <v>119</v>
      </c>
      <c r="T596" s="0" t="n">
        <v>2</v>
      </c>
      <c r="U596" s="0" t="s">
        <v>1099</v>
      </c>
      <c r="V596" s="0" t="s">
        <v>535</v>
      </c>
      <c r="Z596" s="0" t="str">
        <f aca="false">HYPERLINK("http://lutemusic.org/composers/Campion/songs/book_1/03_where_are_all_thy_beauties_now/03_where_are_all_thy_beauties_now_4.ft3")</f>
        <v>http://lutemusic.org/composers/Campion/songs/book_1/03_where_are_all_thy_beauties_now/03_where_are_all_thy_beauties_now_4.ft3</v>
      </c>
      <c r="AA596" s="0" t="str">
        <f aca="false">HYPERLINK("http://lutemusic.org/composers/Campion/songs/book_1/03_where_are_all_thy_beauties_now/pdf/03_where_are_all_thy_beauties_now_4.pdf")</f>
        <v>http://lutemusic.org/composers/Campion/songs/book_1/03_where_are_all_thy_beauties_now/pdf/03_where_are_all_thy_beauties_now_4.pdf</v>
      </c>
      <c r="AB596" s="0" t="str">
        <f aca="false">HYPERLINK("http://lutemusic.org/composers/Campion/songs/book_1/03_where_are_all_thy_beauties_now/midi/03_where_are_all_thy_beauties_now_4.mid")</f>
        <v>http://lutemusic.org/composers/Campion/songs/book_1/03_where_are_all_thy_beauties_now/midi/03_where_are_all_thy_beauties_now_4.mid</v>
      </c>
      <c r="AC596" s="0" t="n">
        <v>1573937409</v>
      </c>
      <c r="AD596" s="0" t="n">
        <v>1586042063</v>
      </c>
    </row>
    <row r="597" customFormat="false" ht="12.8" hidden="false" customHeight="false" outlineLevel="0" collapsed="false">
      <c r="A597" s="0" t="s">
        <v>1102</v>
      </c>
      <c r="C597" s="0" t="s">
        <v>1096</v>
      </c>
      <c r="E597" s="0" t="s">
        <v>1096</v>
      </c>
      <c r="F597" s="0" t="s">
        <v>614</v>
      </c>
      <c r="H597" s="0" t="n">
        <v>1613</v>
      </c>
      <c r="I597" s="0" t="s">
        <v>1103</v>
      </c>
      <c r="J597" s="0" t="s">
        <v>36</v>
      </c>
      <c r="K597" s="0" t="s">
        <v>36</v>
      </c>
      <c r="P597" s="0" t="s">
        <v>1102</v>
      </c>
      <c r="R597" s="0" t="s">
        <v>51</v>
      </c>
      <c r="S597" s="0" t="s">
        <v>119</v>
      </c>
      <c r="T597" s="0" t="n">
        <v>2</v>
      </c>
      <c r="U597" s="0" t="s">
        <v>1099</v>
      </c>
      <c r="V597" s="0" t="s">
        <v>40</v>
      </c>
      <c r="Z597" s="0" t="str">
        <f aca="false">HYPERLINK("http://lutemusic.org/composers/Campion/songs/book_1/03_where_are_all_thy_beauties_now/03_where_are_all_thy_beauties_now_S.ft3")</f>
        <v>http://lutemusic.org/composers/Campion/songs/book_1/03_where_are_all_thy_beauties_now/03_where_are_all_thy_beauties_now_S.ft3</v>
      </c>
      <c r="AA597" s="0" t="str">
        <f aca="false">HYPERLINK("http://lutemusic.org/composers/Campion/songs/book_1/03_where_are_all_thy_beauties_now/pdf/03_where_are_all_thy_beauties_now_S.pdf")</f>
        <v>http://lutemusic.org/composers/Campion/songs/book_1/03_where_are_all_thy_beauties_now/pdf/03_where_are_all_thy_beauties_now_S.pdf</v>
      </c>
      <c r="AB597" s="0" t="str">
        <f aca="false">HYPERLINK("http://lutemusic.org/composers/Campion/songs/book_1/03_where_are_all_thy_beauties_now/midi/03_where_are_all_thy_beauties_now_S.mid")</f>
        <v>http://lutemusic.org/composers/Campion/songs/book_1/03_where_are_all_thy_beauties_now/midi/03_where_are_all_thy_beauties_now_S.mid</v>
      </c>
      <c r="AC597" s="0" t="n">
        <v>1573937409</v>
      </c>
      <c r="AD597" s="0" t="n">
        <v>1586042063</v>
      </c>
    </row>
    <row r="598" customFormat="false" ht="12.8" hidden="false" customHeight="false" outlineLevel="0" collapsed="false">
      <c r="A598" s="0" t="s">
        <v>1102</v>
      </c>
      <c r="C598" s="0" t="s">
        <v>1096</v>
      </c>
      <c r="E598" s="0" t="s">
        <v>1096</v>
      </c>
      <c r="F598" s="0" t="s">
        <v>614</v>
      </c>
      <c r="H598" s="0" t="n">
        <v>1613</v>
      </c>
      <c r="I598" s="0" t="s">
        <v>1103</v>
      </c>
      <c r="J598" s="0" t="s">
        <v>36</v>
      </c>
      <c r="K598" s="0" t="s">
        <v>36</v>
      </c>
      <c r="P598" s="0" t="s">
        <v>1102</v>
      </c>
      <c r="R598" s="0" t="s">
        <v>51</v>
      </c>
      <c r="S598" s="0" t="s">
        <v>119</v>
      </c>
      <c r="T598" s="0" t="n">
        <v>2</v>
      </c>
      <c r="U598" s="0" t="s">
        <v>1099</v>
      </c>
      <c r="V598" s="0" t="s">
        <v>63</v>
      </c>
      <c r="Z598" s="0" t="str">
        <f aca="false">HYPERLINK("http://lutemusic.org/composers/Campion/songs/book_1/03_where_are_all_thy_beauties_now/03_where_are_all_thy_beauties_now_T.ft3")</f>
        <v>http://lutemusic.org/composers/Campion/songs/book_1/03_where_are_all_thy_beauties_now/03_where_are_all_thy_beauties_now_T.ft3</v>
      </c>
      <c r="AA598" s="0" t="str">
        <f aca="false">HYPERLINK("http://lutemusic.org/composers/Campion/songs/book_1/03_where_are_all_thy_beauties_now/pdf/03_where_are_all_thy_beauties_now_T.pdf")</f>
        <v>http://lutemusic.org/composers/Campion/songs/book_1/03_where_are_all_thy_beauties_now/pdf/03_where_are_all_thy_beauties_now_T.pdf</v>
      </c>
      <c r="AB598" s="0" t="str">
        <f aca="false">HYPERLINK("http://lutemusic.org/composers/Campion/songs/book_1/03_where_are_all_thy_beauties_now/midi/03_where_are_all_thy_beauties_now_T.mid")</f>
        <v>http://lutemusic.org/composers/Campion/songs/book_1/03_where_are_all_thy_beauties_now/midi/03_where_are_all_thy_beauties_now_T.mid</v>
      </c>
      <c r="AC598" s="0" t="n">
        <v>1573937409</v>
      </c>
      <c r="AD598" s="0" t="n">
        <v>1586042063</v>
      </c>
    </row>
    <row r="599" customFormat="false" ht="12.8" hidden="false" customHeight="false" outlineLevel="0" collapsed="false">
      <c r="A599" s="0" t="s">
        <v>1102</v>
      </c>
      <c r="C599" s="0" t="s">
        <v>1096</v>
      </c>
      <c r="E599" s="0" t="s">
        <v>1096</v>
      </c>
      <c r="F599" s="0" t="s">
        <v>614</v>
      </c>
      <c r="H599" s="0" t="n">
        <v>1613</v>
      </c>
      <c r="I599" s="0" t="s">
        <v>1103</v>
      </c>
      <c r="J599" s="0" t="s">
        <v>36</v>
      </c>
      <c r="K599" s="0" t="s">
        <v>36</v>
      </c>
      <c r="P599" s="0" t="s">
        <v>1102</v>
      </c>
      <c r="R599" s="0" t="s">
        <v>51</v>
      </c>
      <c r="S599" s="0" t="s">
        <v>119</v>
      </c>
      <c r="T599" s="0" t="n">
        <v>2</v>
      </c>
      <c r="U599" s="0" t="s">
        <v>1099</v>
      </c>
      <c r="V599" s="0" t="s">
        <v>1100</v>
      </c>
      <c r="Z599" s="0" t="str">
        <f aca="false">HYPERLINK("http://lutemusic.org/composers/Campion/songs/book_1/03_where_are_all_thy_beauties_now/03_where_are_all_thy_beauties_now_VB.ft3")</f>
        <v>http://lutemusic.org/composers/Campion/songs/book_1/03_where_are_all_thy_beauties_now/03_where_are_all_thy_beauties_now_VB.ft3</v>
      </c>
      <c r="AA599" s="0" t="str">
        <f aca="false">HYPERLINK("http://lutemusic.org/composers/Campion/songs/book_1/03_where_are_all_thy_beauties_now/pdf/03_where_are_all_thy_beauties_now_VB.pdf")</f>
        <v>http://lutemusic.org/composers/Campion/songs/book_1/03_where_are_all_thy_beauties_now/pdf/03_where_are_all_thy_beauties_now_VB.pdf</v>
      </c>
      <c r="AB599" s="0" t="str">
        <f aca="false">HYPERLINK("http://lutemusic.org/composers/Campion/songs/book_1/03_where_are_all_thy_beauties_now/midi/03_where_are_all_thy_beauties_now_VB.mid")</f>
        <v>http://lutemusic.org/composers/Campion/songs/book_1/03_where_are_all_thy_beauties_now/midi/03_where_are_all_thy_beauties_now_VB.mid</v>
      </c>
      <c r="AC599" s="0" t="n">
        <v>1573937409</v>
      </c>
      <c r="AD599" s="0" t="n">
        <v>1586042063</v>
      </c>
    </row>
    <row r="600" customFormat="false" ht="12.8" hidden="false" customHeight="false" outlineLevel="0" collapsed="false">
      <c r="A600" s="0" t="s">
        <v>1104</v>
      </c>
      <c r="C600" s="0" t="s">
        <v>1096</v>
      </c>
      <c r="E600" s="0" t="s">
        <v>1096</v>
      </c>
      <c r="F600" s="0" t="s">
        <v>614</v>
      </c>
      <c r="H600" s="0" t="n">
        <v>1613</v>
      </c>
      <c r="I600" s="0" t="s">
        <v>636</v>
      </c>
      <c r="J600" s="0" t="s">
        <v>36</v>
      </c>
      <c r="K600" s="0" t="s">
        <v>36</v>
      </c>
      <c r="P600" s="0" t="s">
        <v>1104</v>
      </c>
      <c r="R600" s="0" t="s">
        <v>1098</v>
      </c>
      <c r="S600" s="0" t="s">
        <v>66</v>
      </c>
      <c r="T600" s="0" t="n">
        <v>2</v>
      </c>
      <c r="U600" s="0" t="s">
        <v>1099</v>
      </c>
      <c r="V600" s="0" t="s">
        <v>990</v>
      </c>
      <c r="Z600" s="0" t="str">
        <f aca="false">HYPERLINK("http://lutemusic.org/composers/Campion/songs/book_1/04_out_of_my_souls_depth/out_of_my_souls_depth.ft3")</f>
        <v>http://lutemusic.org/composers/Campion/songs/book_1/04_out_of_my_souls_depth/out_of_my_souls_depth.ft3</v>
      </c>
      <c r="AA600" s="0" t="str">
        <f aca="false">HYPERLINK("http://lutemusic.org/composers/Campion/songs/book_1/04_out_of_my_souls_depth/pdf/out_of_my_souls_depth.pdf")</f>
        <v>http://lutemusic.org/composers/Campion/songs/book_1/04_out_of_my_souls_depth/pdf/out_of_my_souls_depth.pdf</v>
      </c>
      <c r="AB600" s="0" t="str">
        <f aca="false">HYPERLINK("http://lutemusic.org/composers/Campion/songs/book_1/04_out_of_my_souls_depth/midi/out_of_my_souls_depth.mid")</f>
        <v>http://lutemusic.org/composers/Campion/songs/book_1/04_out_of_my_souls_depth/midi/out_of_my_souls_depth.mid</v>
      </c>
      <c r="AC600" s="0" t="n">
        <v>1573937409</v>
      </c>
      <c r="AD600" s="0" t="n">
        <v>1586042063</v>
      </c>
    </row>
    <row r="601" customFormat="false" ht="12.8" hidden="false" customHeight="false" outlineLevel="0" collapsed="false">
      <c r="A601" s="0" t="s">
        <v>1104</v>
      </c>
      <c r="C601" s="0" t="s">
        <v>1096</v>
      </c>
      <c r="E601" s="0" t="s">
        <v>1096</v>
      </c>
      <c r="F601" s="0" t="s">
        <v>614</v>
      </c>
      <c r="H601" s="0" t="n">
        <v>1613</v>
      </c>
      <c r="I601" s="0" t="s">
        <v>636</v>
      </c>
      <c r="J601" s="0" t="s">
        <v>36</v>
      </c>
      <c r="K601" s="0" t="s">
        <v>36</v>
      </c>
      <c r="P601" s="0" t="s">
        <v>1104</v>
      </c>
      <c r="R601" s="0" t="s">
        <v>1098</v>
      </c>
      <c r="S601" s="0" t="s">
        <v>66</v>
      </c>
      <c r="T601" s="0" t="n">
        <v>2</v>
      </c>
      <c r="U601" s="0" t="s">
        <v>1099</v>
      </c>
      <c r="V601" s="0" t="s">
        <v>535</v>
      </c>
      <c r="Z601" s="0" t="str">
        <f aca="false">HYPERLINK("http://lutemusic.org/composers/Campion/songs/book_1/04_out_of_my_souls_depth/out_of_my_souls_depth_4.ft3")</f>
        <v>http://lutemusic.org/composers/Campion/songs/book_1/04_out_of_my_souls_depth/out_of_my_souls_depth_4.ft3</v>
      </c>
      <c r="AA601" s="0" t="str">
        <f aca="false">HYPERLINK("http://lutemusic.org/composers/Campion/songs/book_1/04_out_of_my_souls_depth/pdf/out_of_my_souls_depth_4.pdf")</f>
        <v>http://lutemusic.org/composers/Campion/songs/book_1/04_out_of_my_souls_depth/pdf/out_of_my_souls_depth_4.pdf</v>
      </c>
      <c r="AB601" s="0" t="str">
        <f aca="false">HYPERLINK("http://lutemusic.org/composers/Campion/songs/book_1/04_out_of_my_souls_depth/midi/out_of_my_souls_depth_4.mid")</f>
        <v>http://lutemusic.org/composers/Campion/songs/book_1/04_out_of_my_souls_depth/midi/out_of_my_souls_depth_4.mid</v>
      </c>
      <c r="AC601" s="0" t="n">
        <v>1573937409</v>
      </c>
      <c r="AD601" s="0" t="n">
        <v>1586042063</v>
      </c>
    </row>
    <row r="602" customFormat="false" ht="12.8" hidden="false" customHeight="false" outlineLevel="0" collapsed="false">
      <c r="A602" s="0" t="s">
        <v>1104</v>
      </c>
      <c r="C602" s="0" t="s">
        <v>1096</v>
      </c>
      <c r="E602" s="0" t="s">
        <v>1096</v>
      </c>
      <c r="F602" s="0" t="s">
        <v>614</v>
      </c>
      <c r="H602" s="0" t="n">
        <v>1613</v>
      </c>
      <c r="I602" s="0" t="s">
        <v>636</v>
      </c>
      <c r="J602" s="0" t="s">
        <v>36</v>
      </c>
      <c r="K602" s="0" t="s">
        <v>36</v>
      </c>
      <c r="P602" s="0" t="s">
        <v>1104</v>
      </c>
      <c r="R602" s="0" t="s">
        <v>1098</v>
      </c>
      <c r="S602" s="0" t="s">
        <v>66</v>
      </c>
      <c r="T602" s="0" t="n">
        <v>2</v>
      </c>
      <c r="U602" s="0" t="s">
        <v>1099</v>
      </c>
      <c r="V602" s="0" t="s">
        <v>40</v>
      </c>
      <c r="Z602" s="0" t="str">
        <f aca="false">HYPERLINK("http://lutemusic.org/composers/Campion/songs/book_1/04_out_of_my_souls_depth/out_of_my_souls_depth_S.ft3")</f>
        <v>http://lutemusic.org/composers/Campion/songs/book_1/04_out_of_my_souls_depth/out_of_my_souls_depth_S.ft3</v>
      </c>
      <c r="AA602" s="0" t="str">
        <f aca="false">HYPERLINK("http://lutemusic.org/composers/Campion/songs/book_1/04_out_of_my_souls_depth/pdf/out_of_my_souls_depth_S.pdf")</f>
        <v>http://lutemusic.org/composers/Campion/songs/book_1/04_out_of_my_souls_depth/pdf/out_of_my_souls_depth_S.pdf</v>
      </c>
      <c r="AB602" s="0" t="str">
        <f aca="false">HYPERLINK("http://lutemusic.org/composers/Campion/songs/book_1/04_out_of_my_souls_depth/midi/out_of_my_souls_depth_S.mid")</f>
        <v>http://lutemusic.org/composers/Campion/songs/book_1/04_out_of_my_souls_depth/midi/out_of_my_souls_depth_S.mid</v>
      </c>
      <c r="AC602" s="0" t="n">
        <v>1573937409</v>
      </c>
      <c r="AD602" s="0" t="n">
        <v>1586042063</v>
      </c>
    </row>
    <row r="603" customFormat="false" ht="12.8" hidden="false" customHeight="false" outlineLevel="0" collapsed="false">
      <c r="A603" s="0" t="s">
        <v>1104</v>
      </c>
      <c r="C603" s="0" t="s">
        <v>1096</v>
      </c>
      <c r="E603" s="0" t="s">
        <v>1096</v>
      </c>
      <c r="F603" s="0" t="s">
        <v>614</v>
      </c>
      <c r="H603" s="0" t="n">
        <v>1613</v>
      </c>
      <c r="I603" s="0" t="s">
        <v>636</v>
      </c>
      <c r="J603" s="0" t="s">
        <v>36</v>
      </c>
      <c r="K603" s="0" t="s">
        <v>36</v>
      </c>
      <c r="P603" s="0" t="s">
        <v>1104</v>
      </c>
      <c r="R603" s="0" t="s">
        <v>1098</v>
      </c>
      <c r="S603" s="0" t="s">
        <v>66</v>
      </c>
      <c r="T603" s="0" t="n">
        <v>2</v>
      </c>
      <c r="U603" s="0" t="s">
        <v>1099</v>
      </c>
      <c r="V603" s="0" t="s">
        <v>63</v>
      </c>
      <c r="Z603" s="0" t="str">
        <f aca="false">HYPERLINK("http://lutemusic.org/composers/Campion/songs/book_1/04_out_of_my_souls_depth/out_of_my_souls_depth_T.ft3")</f>
        <v>http://lutemusic.org/composers/Campion/songs/book_1/04_out_of_my_souls_depth/out_of_my_souls_depth_T.ft3</v>
      </c>
      <c r="AA603" s="0" t="str">
        <f aca="false">HYPERLINK("http://lutemusic.org/composers/Campion/songs/book_1/04_out_of_my_souls_depth/pdf/out_of_my_souls_depth_T.pdf")</f>
        <v>http://lutemusic.org/composers/Campion/songs/book_1/04_out_of_my_souls_depth/pdf/out_of_my_souls_depth_T.pdf</v>
      </c>
      <c r="AB603" s="0" t="str">
        <f aca="false">HYPERLINK("http://lutemusic.org/composers/Campion/songs/book_1/04_out_of_my_souls_depth/midi/out_of_my_souls_depth_T.mid")</f>
        <v>http://lutemusic.org/composers/Campion/songs/book_1/04_out_of_my_souls_depth/midi/out_of_my_souls_depth_T.mid</v>
      </c>
      <c r="AC603" s="0" t="n">
        <v>1573937409</v>
      </c>
      <c r="AD603" s="0" t="n">
        <v>1586042063</v>
      </c>
    </row>
    <row r="604" customFormat="false" ht="12.8" hidden="false" customHeight="false" outlineLevel="0" collapsed="false">
      <c r="A604" s="0" t="s">
        <v>1104</v>
      </c>
      <c r="C604" s="0" t="s">
        <v>1096</v>
      </c>
      <c r="E604" s="0" t="s">
        <v>1096</v>
      </c>
      <c r="F604" s="0" t="s">
        <v>614</v>
      </c>
      <c r="H604" s="0" t="n">
        <v>1613</v>
      </c>
      <c r="I604" s="0" t="s">
        <v>636</v>
      </c>
      <c r="J604" s="0" t="s">
        <v>36</v>
      </c>
      <c r="K604" s="0" t="s">
        <v>36</v>
      </c>
      <c r="P604" s="0" t="s">
        <v>1104</v>
      </c>
      <c r="R604" s="0" t="s">
        <v>1098</v>
      </c>
      <c r="S604" s="0" t="s">
        <v>66</v>
      </c>
      <c r="T604" s="0" t="n">
        <v>2</v>
      </c>
      <c r="U604" s="0" t="s">
        <v>1099</v>
      </c>
      <c r="V604" s="0" t="s">
        <v>1100</v>
      </c>
      <c r="Z604" s="0" t="str">
        <f aca="false">HYPERLINK("http://lutemusic.org/composers/Campion/songs/book_1/04_out_of_my_souls_depth/out_of_my_souls_depth_VB.ft3")</f>
        <v>http://lutemusic.org/composers/Campion/songs/book_1/04_out_of_my_souls_depth/out_of_my_souls_depth_VB.ft3</v>
      </c>
      <c r="AA604" s="0" t="str">
        <f aca="false">HYPERLINK("http://lutemusic.org/composers/Campion/songs/book_1/04_out_of_my_souls_depth/pdf/out_of_my_souls_depth_VB.pdf")</f>
        <v>http://lutemusic.org/composers/Campion/songs/book_1/04_out_of_my_souls_depth/pdf/out_of_my_souls_depth_VB.pdf</v>
      </c>
      <c r="AB604" s="0" t="str">
        <f aca="false">HYPERLINK("http://lutemusic.org/composers/Campion/songs/book_1/04_out_of_my_souls_depth/midi/out_of_my_souls_depth_VB.mid")</f>
        <v>http://lutemusic.org/composers/Campion/songs/book_1/04_out_of_my_souls_depth/midi/out_of_my_souls_depth_VB.mid</v>
      </c>
      <c r="AC604" s="0" t="n">
        <v>1573937409</v>
      </c>
      <c r="AD604" s="0" t="n">
        <v>1586042063</v>
      </c>
    </row>
    <row r="605" customFormat="false" ht="12.8" hidden="false" customHeight="false" outlineLevel="0" collapsed="false">
      <c r="A605" s="0" t="s">
        <v>1105</v>
      </c>
      <c r="C605" s="0" t="s">
        <v>1096</v>
      </c>
      <c r="E605" s="0" t="s">
        <v>1096</v>
      </c>
      <c r="F605" s="0" t="s">
        <v>614</v>
      </c>
      <c r="H605" s="0" t="n">
        <v>1613</v>
      </c>
      <c r="I605" s="0" t="s">
        <v>639</v>
      </c>
      <c r="J605" s="0" t="s">
        <v>36</v>
      </c>
      <c r="K605" s="0" t="s">
        <v>36</v>
      </c>
      <c r="P605" s="0" t="s">
        <v>1105</v>
      </c>
      <c r="R605" s="0" t="s">
        <v>1098</v>
      </c>
      <c r="S605" s="0" t="s">
        <v>119</v>
      </c>
      <c r="T605" s="0" t="n">
        <v>3</v>
      </c>
      <c r="U605" s="0" t="s">
        <v>1099</v>
      </c>
      <c r="V605" s="0" t="s">
        <v>990</v>
      </c>
      <c r="Z605" s="0" t="str">
        <f aca="false">HYPERLINK("http://lutemusic.org/composers/Campion/songs/book_1/05_view_me_lord_a_work_of_thine/view_me_lord_a_work_of_thine.ft3")</f>
        <v>http://lutemusic.org/composers/Campion/songs/book_1/05_view_me_lord_a_work_of_thine/view_me_lord_a_work_of_thine.ft3</v>
      </c>
      <c r="AA605" s="0" t="str">
        <f aca="false">HYPERLINK("http://lutemusic.org/composers/Campion/songs/book_1/05_view_me_lord_a_work_of_thine/pdf/view_me_lord_a_work_of_thine.pdf")</f>
        <v>http://lutemusic.org/composers/Campion/songs/book_1/05_view_me_lord_a_work_of_thine/pdf/view_me_lord_a_work_of_thine.pdf</v>
      </c>
      <c r="AB605" s="0" t="str">
        <f aca="false">HYPERLINK("http://lutemusic.org/composers/Campion/songs/book_1/05_view_me_lord_a_work_of_thine/midi/view_me_lord_a_work_of_thine.mid")</f>
        <v>http://lutemusic.org/composers/Campion/songs/book_1/05_view_me_lord_a_work_of_thine/midi/view_me_lord_a_work_of_thine.mid</v>
      </c>
      <c r="AC605" s="0" t="n">
        <v>1573937409</v>
      </c>
      <c r="AD605" s="0" t="n">
        <v>1586042063</v>
      </c>
    </row>
    <row r="606" customFormat="false" ht="12.8" hidden="false" customHeight="false" outlineLevel="0" collapsed="false">
      <c r="A606" s="0" t="s">
        <v>1105</v>
      </c>
      <c r="C606" s="0" t="s">
        <v>1096</v>
      </c>
      <c r="E606" s="0" t="s">
        <v>1096</v>
      </c>
      <c r="F606" s="0" t="s">
        <v>614</v>
      </c>
      <c r="H606" s="0" t="n">
        <v>1613</v>
      </c>
      <c r="I606" s="0" t="s">
        <v>639</v>
      </c>
      <c r="J606" s="0" t="s">
        <v>36</v>
      </c>
      <c r="K606" s="0" t="s">
        <v>36</v>
      </c>
      <c r="P606" s="0" t="s">
        <v>1105</v>
      </c>
      <c r="R606" s="0" t="s">
        <v>1098</v>
      </c>
      <c r="S606" s="0" t="s">
        <v>119</v>
      </c>
      <c r="T606" s="0" t="n">
        <v>3</v>
      </c>
      <c r="U606" s="0" t="s">
        <v>1099</v>
      </c>
      <c r="V606" s="0" t="s">
        <v>535</v>
      </c>
      <c r="Z606" s="0" t="str">
        <f aca="false">HYPERLINK("http://lutemusic.org/composers/Campion/songs/book_1/05_view_me_lord_a_work_of_thine/view_me_lord_a_work_of_thine_4.ft3")</f>
        <v>http://lutemusic.org/composers/Campion/songs/book_1/05_view_me_lord_a_work_of_thine/view_me_lord_a_work_of_thine_4.ft3</v>
      </c>
      <c r="AA606" s="0" t="str">
        <f aca="false">HYPERLINK("http://lutemusic.org/composers/Campion/songs/book_1/05_view_me_lord_a_work_of_thine/pdf/view_me_lord_a_work_of_thine_4.pdf")</f>
        <v>http://lutemusic.org/composers/Campion/songs/book_1/05_view_me_lord_a_work_of_thine/pdf/view_me_lord_a_work_of_thine_4.pdf</v>
      </c>
      <c r="AB606" s="0" t="str">
        <f aca="false">HYPERLINK("http://lutemusic.org/composers/Campion/songs/book_1/05_view_me_lord_a_work_of_thine/midi/view_me_lord_a_work_of_thine_4.mid")</f>
        <v>http://lutemusic.org/composers/Campion/songs/book_1/05_view_me_lord_a_work_of_thine/midi/view_me_lord_a_work_of_thine_4.mid</v>
      </c>
      <c r="AC606" s="0" t="n">
        <v>1573937409</v>
      </c>
      <c r="AD606" s="0" t="n">
        <v>1586042063</v>
      </c>
    </row>
    <row r="607" customFormat="false" ht="12.8" hidden="false" customHeight="false" outlineLevel="0" collapsed="false">
      <c r="A607" s="0" t="s">
        <v>1105</v>
      </c>
      <c r="C607" s="0" t="s">
        <v>1096</v>
      </c>
      <c r="E607" s="0" t="s">
        <v>1096</v>
      </c>
      <c r="F607" s="0" t="s">
        <v>614</v>
      </c>
      <c r="H607" s="0" t="n">
        <v>1613</v>
      </c>
      <c r="I607" s="0" t="s">
        <v>639</v>
      </c>
      <c r="J607" s="0" t="s">
        <v>36</v>
      </c>
      <c r="K607" s="0" t="s">
        <v>36</v>
      </c>
      <c r="P607" s="0" t="s">
        <v>1105</v>
      </c>
      <c r="R607" s="0" t="s">
        <v>1098</v>
      </c>
      <c r="S607" s="0" t="s">
        <v>119</v>
      </c>
      <c r="T607" s="0" t="n">
        <v>3</v>
      </c>
      <c r="U607" s="0" t="s">
        <v>1099</v>
      </c>
      <c r="V607" s="0" t="s">
        <v>40</v>
      </c>
      <c r="Z607" s="0" t="str">
        <f aca="false">HYPERLINK("http://lutemusic.org/composers/Campion/songs/book_1/05_view_me_lord_a_work_of_thine/view_me_lord_a_work_of_thine_S.ft3")</f>
        <v>http://lutemusic.org/composers/Campion/songs/book_1/05_view_me_lord_a_work_of_thine/view_me_lord_a_work_of_thine_S.ft3</v>
      </c>
      <c r="AA607" s="0" t="str">
        <f aca="false">HYPERLINK("http://lutemusic.org/composers/Campion/songs/book_1/05_view_me_lord_a_work_of_thine/pdf/view_me_lord_a_work_of_thine_S.pdf")</f>
        <v>http://lutemusic.org/composers/Campion/songs/book_1/05_view_me_lord_a_work_of_thine/pdf/view_me_lord_a_work_of_thine_S.pdf</v>
      </c>
      <c r="AB607" s="0" t="str">
        <f aca="false">HYPERLINK("http://lutemusic.org/composers/Campion/songs/book_1/05_view_me_lord_a_work_of_thine/midi/view_me_lord_a_work_of_thine_S.mid")</f>
        <v>http://lutemusic.org/composers/Campion/songs/book_1/05_view_me_lord_a_work_of_thine/midi/view_me_lord_a_work_of_thine_S.mid</v>
      </c>
      <c r="AC607" s="0" t="n">
        <v>1573937409</v>
      </c>
      <c r="AD607" s="0" t="n">
        <v>1586042063</v>
      </c>
    </row>
    <row r="608" customFormat="false" ht="12.8" hidden="false" customHeight="false" outlineLevel="0" collapsed="false">
      <c r="A608" s="0" t="s">
        <v>1105</v>
      </c>
      <c r="C608" s="0" t="s">
        <v>1096</v>
      </c>
      <c r="E608" s="0" t="s">
        <v>1096</v>
      </c>
      <c r="F608" s="0" t="s">
        <v>614</v>
      </c>
      <c r="H608" s="0" t="n">
        <v>1613</v>
      </c>
      <c r="I608" s="0" t="s">
        <v>639</v>
      </c>
      <c r="J608" s="0" t="s">
        <v>36</v>
      </c>
      <c r="K608" s="0" t="s">
        <v>36</v>
      </c>
      <c r="P608" s="0" t="s">
        <v>1105</v>
      </c>
      <c r="R608" s="0" t="s">
        <v>1098</v>
      </c>
      <c r="S608" s="0" t="s">
        <v>119</v>
      </c>
      <c r="T608" s="0" t="n">
        <v>3</v>
      </c>
      <c r="U608" s="0" t="s">
        <v>1099</v>
      </c>
      <c r="V608" s="0" t="s">
        <v>63</v>
      </c>
      <c r="Z608" s="0" t="str">
        <f aca="false">HYPERLINK("http://lutemusic.org/composers/Campion/songs/book_1/05_view_me_lord_a_work_of_thine/view_me_lord_a_work_of_thine_T.ft3")</f>
        <v>http://lutemusic.org/composers/Campion/songs/book_1/05_view_me_lord_a_work_of_thine/view_me_lord_a_work_of_thine_T.ft3</v>
      </c>
      <c r="AA608" s="0" t="str">
        <f aca="false">HYPERLINK("http://lutemusic.org/composers/Campion/songs/book_1/05_view_me_lord_a_work_of_thine/pdf/view_me_lord_a_work_of_thine_T.pdf")</f>
        <v>http://lutemusic.org/composers/Campion/songs/book_1/05_view_me_lord_a_work_of_thine/pdf/view_me_lord_a_work_of_thine_T.pdf</v>
      </c>
      <c r="AB608" s="0" t="str">
        <f aca="false">HYPERLINK("http://lutemusic.org/composers/Campion/songs/book_1/05_view_me_lord_a_work_of_thine/midi/view_me_lord_a_work_of_thine_T.mid")</f>
        <v>http://lutemusic.org/composers/Campion/songs/book_1/05_view_me_lord_a_work_of_thine/midi/view_me_lord_a_work_of_thine_T.mid</v>
      </c>
      <c r="AC608" s="0" t="n">
        <v>1573937409</v>
      </c>
      <c r="AD608" s="0" t="n">
        <v>1586042063</v>
      </c>
    </row>
    <row r="609" customFormat="false" ht="12.8" hidden="false" customHeight="false" outlineLevel="0" collapsed="false">
      <c r="A609" s="0" t="s">
        <v>1105</v>
      </c>
      <c r="C609" s="0" t="s">
        <v>1096</v>
      </c>
      <c r="E609" s="0" t="s">
        <v>1096</v>
      </c>
      <c r="F609" s="0" t="s">
        <v>614</v>
      </c>
      <c r="H609" s="0" t="n">
        <v>1613</v>
      </c>
      <c r="I609" s="0" t="s">
        <v>639</v>
      </c>
      <c r="J609" s="0" t="s">
        <v>36</v>
      </c>
      <c r="K609" s="0" t="s">
        <v>36</v>
      </c>
      <c r="P609" s="0" t="s">
        <v>1105</v>
      </c>
      <c r="R609" s="0" t="s">
        <v>1098</v>
      </c>
      <c r="S609" s="0" t="s">
        <v>119</v>
      </c>
      <c r="T609" s="0" t="n">
        <v>3</v>
      </c>
      <c r="U609" s="0" t="s">
        <v>1099</v>
      </c>
      <c r="V609" s="0" t="s">
        <v>1100</v>
      </c>
      <c r="Z609" s="0" t="str">
        <f aca="false">HYPERLINK("http://lutemusic.org/composers/Campion/songs/book_1/05_view_me_lord_a_work_of_thine/view_me_lord_a_work_of_thine_VB.ft3")</f>
        <v>http://lutemusic.org/composers/Campion/songs/book_1/05_view_me_lord_a_work_of_thine/view_me_lord_a_work_of_thine_VB.ft3</v>
      </c>
      <c r="AA609" s="0" t="str">
        <f aca="false">HYPERLINK("http://lutemusic.org/composers/Campion/songs/book_1/05_view_me_lord_a_work_of_thine/pdf/view_me_lord_a_work_of_thine_VB.pdf")</f>
        <v>http://lutemusic.org/composers/Campion/songs/book_1/05_view_me_lord_a_work_of_thine/pdf/view_me_lord_a_work_of_thine_VB.pdf</v>
      </c>
      <c r="AB609" s="0" t="str">
        <f aca="false">HYPERLINK("http://lutemusic.org/composers/Campion/songs/book_1/05_view_me_lord_a_work_of_thine/midi/view_me_lord_a_work_of_thine_VB.mid")</f>
        <v>http://lutemusic.org/composers/Campion/songs/book_1/05_view_me_lord_a_work_of_thine/midi/view_me_lord_a_work_of_thine_VB.mid</v>
      </c>
      <c r="AC609" s="0" t="n">
        <v>1573937409</v>
      </c>
      <c r="AD609" s="0" t="n">
        <v>1586042063</v>
      </c>
    </row>
    <row r="610" customFormat="false" ht="12.8" hidden="false" customHeight="false" outlineLevel="0" collapsed="false">
      <c r="A610" s="0" t="s">
        <v>1106</v>
      </c>
      <c r="C610" s="0" t="s">
        <v>1096</v>
      </c>
      <c r="E610" s="0" t="s">
        <v>1096</v>
      </c>
      <c r="F610" s="0" t="s">
        <v>614</v>
      </c>
      <c r="H610" s="0" t="n">
        <v>1613</v>
      </c>
      <c r="I610" s="0" t="s">
        <v>655</v>
      </c>
      <c r="J610" s="0" t="s">
        <v>36</v>
      </c>
      <c r="K610" s="0" t="s">
        <v>36</v>
      </c>
      <c r="P610" s="0" t="s">
        <v>1106</v>
      </c>
      <c r="R610" s="0" t="s">
        <v>1098</v>
      </c>
      <c r="S610" s="0" t="s">
        <v>38</v>
      </c>
      <c r="T610" s="0" t="n">
        <v>3</v>
      </c>
      <c r="U610" s="0" t="s">
        <v>1099</v>
      </c>
      <c r="V610" s="0" t="s">
        <v>990</v>
      </c>
      <c r="Z610" s="0" t="str">
        <f aca="false">HYPERLINK("http://lutemusic.org/composers/Campion/songs/book_1/06_bravely_decked_come_forth_bright_day/bravely_decked_come_forth_bright_day.ft3")</f>
        <v>http://lutemusic.org/composers/Campion/songs/book_1/06_bravely_decked_come_forth_bright_day/bravely_decked_come_forth_bright_day.ft3</v>
      </c>
      <c r="AA610" s="0" t="str">
        <f aca="false">HYPERLINK("http://lutemusic.org/composers/Campion/songs/book_1/06_bravely_decked_come_forth_bright_day/pdf/bravely_decked_come_forth_bright_day.pdf")</f>
        <v>http://lutemusic.org/composers/Campion/songs/book_1/06_bravely_decked_come_forth_bright_day/pdf/bravely_decked_come_forth_bright_day.pdf</v>
      </c>
      <c r="AB610" s="0" t="str">
        <f aca="false">HYPERLINK("http://lutemusic.org/composers/Campion/songs/book_1/06_bravely_decked_come_forth_bright_day/midi/bravely_decked_come_forth_bright_day.mid")</f>
        <v>http://lutemusic.org/composers/Campion/songs/book_1/06_bravely_decked_come_forth_bright_day/midi/bravely_decked_come_forth_bright_day.mid</v>
      </c>
      <c r="AC610" s="0" t="n">
        <v>1573937409</v>
      </c>
      <c r="AD610" s="0" t="n">
        <v>1586042063</v>
      </c>
    </row>
    <row r="611" customFormat="false" ht="12.8" hidden="false" customHeight="false" outlineLevel="0" collapsed="false">
      <c r="A611" s="0" t="s">
        <v>1106</v>
      </c>
      <c r="C611" s="0" t="s">
        <v>1096</v>
      </c>
      <c r="E611" s="0" t="s">
        <v>1096</v>
      </c>
      <c r="F611" s="0" t="s">
        <v>614</v>
      </c>
      <c r="H611" s="0" t="n">
        <v>1613</v>
      </c>
      <c r="I611" s="0" t="s">
        <v>655</v>
      </c>
      <c r="J611" s="0" t="s">
        <v>36</v>
      </c>
      <c r="K611" s="0" t="s">
        <v>36</v>
      </c>
      <c r="P611" s="0" t="s">
        <v>1106</v>
      </c>
      <c r="R611" s="0" t="s">
        <v>1098</v>
      </c>
      <c r="S611" s="0" t="s">
        <v>38</v>
      </c>
      <c r="T611" s="0" t="n">
        <v>3</v>
      </c>
      <c r="U611" s="0" t="s">
        <v>1099</v>
      </c>
      <c r="V611" s="0" t="s">
        <v>535</v>
      </c>
      <c r="Z611" s="0" t="str">
        <f aca="false">HYPERLINK("http://lutemusic.org/composers/Campion/songs/book_1/06_bravely_decked_come_forth_bright_day/bravely_decked_come_forth_bright_day_4.ft3")</f>
        <v>http://lutemusic.org/composers/Campion/songs/book_1/06_bravely_decked_come_forth_bright_day/bravely_decked_come_forth_bright_day_4.ft3</v>
      </c>
      <c r="AA611" s="0" t="str">
        <f aca="false">HYPERLINK("http://lutemusic.org/composers/Campion/songs/book_1/06_bravely_decked_come_forth_bright_day/pdf/bravely_decked_come_forth_bright_day_4.pdf")</f>
        <v>http://lutemusic.org/composers/Campion/songs/book_1/06_bravely_decked_come_forth_bright_day/pdf/bravely_decked_come_forth_bright_day_4.pdf</v>
      </c>
      <c r="AB611" s="0" t="str">
        <f aca="false">HYPERLINK("http://lutemusic.org/composers/Campion/songs/book_1/06_bravely_decked_come_forth_bright_day/midi/bravely_decked_come_forth_bright_day_4.mid")</f>
        <v>http://lutemusic.org/composers/Campion/songs/book_1/06_bravely_decked_come_forth_bright_day/midi/bravely_decked_come_forth_bright_day_4.mid</v>
      </c>
      <c r="AC611" s="0" t="n">
        <v>1573937409</v>
      </c>
      <c r="AD611" s="0" t="n">
        <v>1586042063</v>
      </c>
    </row>
    <row r="612" customFormat="false" ht="12.8" hidden="false" customHeight="false" outlineLevel="0" collapsed="false">
      <c r="A612" s="0" t="s">
        <v>1106</v>
      </c>
      <c r="C612" s="0" t="s">
        <v>1096</v>
      </c>
      <c r="E612" s="0" t="s">
        <v>1096</v>
      </c>
      <c r="F612" s="0" t="s">
        <v>614</v>
      </c>
      <c r="H612" s="0" t="n">
        <v>1613</v>
      </c>
      <c r="I612" s="0" t="s">
        <v>655</v>
      </c>
      <c r="J612" s="0" t="s">
        <v>36</v>
      </c>
      <c r="K612" s="0" t="s">
        <v>36</v>
      </c>
      <c r="P612" s="0" t="s">
        <v>1106</v>
      </c>
      <c r="R612" s="0" t="s">
        <v>1098</v>
      </c>
      <c r="S612" s="0" t="s">
        <v>38</v>
      </c>
      <c r="T612" s="0" t="n">
        <v>3</v>
      </c>
      <c r="U612" s="0" t="s">
        <v>1099</v>
      </c>
      <c r="V612" s="0" t="s">
        <v>40</v>
      </c>
      <c r="Z612" s="0" t="str">
        <f aca="false">HYPERLINK("http://lutemusic.org/composers/Campion/songs/book_1/06_bravely_decked_come_forth_bright_day/bravely_decked_come_forth_bright_day_S.ft3")</f>
        <v>http://lutemusic.org/composers/Campion/songs/book_1/06_bravely_decked_come_forth_bright_day/bravely_decked_come_forth_bright_day_S.ft3</v>
      </c>
      <c r="AA612" s="0" t="str">
        <f aca="false">HYPERLINK("http://lutemusic.org/composers/Campion/songs/book_1/06_bravely_decked_come_forth_bright_day/pdf/bravely_decked_come_forth_bright_day_S.pdf")</f>
        <v>http://lutemusic.org/composers/Campion/songs/book_1/06_bravely_decked_come_forth_bright_day/pdf/bravely_decked_come_forth_bright_day_S.pdf</v>
      </c>
      <c r="AB612" s="0" t="str">
        <f aca="false">HYPERLINK("http://lutemusic.org/composers/Campion/songs/book_1/06_bravely_decked_come_forth_bright_day/midi/bravely_decked_come_forth_bright_day_S.mid")</f>
        <v>http://lutemusic.org/composers/Campion/songs/book_1/06_bravely_decked_come_forth_bright_day/midi/bravely_decked_come_forth_bright_day_S.mid</v>
      </c>
      <c r="AC612" s="0" t="n">
        <v>1573937409</v>
      </c>
      <c r="AD612" s="0" t="n">
        <v>1586042063</v>
      </c>
    </row>
    <row r="613" customFormat="false" ht="12.8" hidden="false" customHeight="false" outlineLevel="0" collapsed="false">
      <c r="A613" s="0" t="s">
        <v>1107</v>
      </c>
      <c r="C613" s="0" t="s">
        <v>1096</v>
      </c>
      <c r="E613" s="0" t="s">
        <v>1096</v>
      </c>
      <c r="F613" s="0" t="s">
        <v>614</v>
      </c>
      <c r="H613" s="0" t="n">
        <v>1613</v>
      </c>
      <c r="I613" s="0" t="s">
        <v>655</v>
      </c>
      <c r="J613" s="0" t="s">
        <v>36</v>
      </c>
      <c r="K613" s="0" t="s">
        <v>36</v>
      </c>
      <c r="P613" s="0" t="s">
        <v>1107</v>
      </c>
      <c r="R613" s="0" t="s">
        <v>1098</v>
      </c>
      <c r="S613" s="0" t="s">
        <v>38</v>
      </c>
      <c r="T613" s="0" t="n">
        <v>3</v>
      </c>
      <c r="U613" s="0" t="s">
        <v>1099</v>
      </c>
      <c r="V613" s="0" t="s">
        <v>63</v>
      </c>
      <c r="Z613" s="0" t="str">
        <f aca="false">HYPERLINK("http://lutemusic.org/composers/Campion/songs/book_1/06_bravely_decked_come_forth_bright_day/bravely_decked_come_forth_bright_day_T.ft3")</f>
        <v>http://lutemusic.org/composers/Campion/songs/book_1/06_bravely_decked_come_forth_bright_day/bravely_decked_come_forth_bright_day_T.ft3</v>
      </c>
      <c r="AA613" s="0" t="str">
        <f aca="false">HYPERLINK("http://lutemusic.org/composers/Campion/songs/book_1/06_bravely_decked_come_forth_bright_day/pdf/bravely_decked_come_forth_bright_day_T.pdf")</f>
        <v>http://lutemusic.org/composers/Campion/songs/book_1/06_bravely_decked_come_forth_bright_day/pdf/bravely_decked_come_forth_bright_day_T.pdf</v>
      </c>
      <c r="AB613" s="0" t="str">
        <f aca="false">HYPERLINK("http://lutemusic.org/composers/Campion/songs/book_1/06_bravely_decked_come_forth_bright_day/midi/bravely_decked_come_forth_bright_day_T.mid")</f>
        <v>http://lutemusic.org/composers/Campion/songs/book_1/06_bravely_decked_come_forth_bright_day/midi/bravely_decked_come_forth_bright_day_T.mid</v>
      </c>
      <c r="AC613" s="0" t="n">
        <v>1573937409</v>
      </c>
      <c r="AD613" s="0" t="n">
        <v>1586042063</v>
      </c>
    </row>
    <row r="614" customFormat="false" ht="12.8" hidden="false" customHeight="false" outlineLevel="0" collapsed="false">
      <c r="A614" s="0" t="s">
        <v>1107</v>
      </c>
      <c r="C614" s="0" t="s">
        <v>1096</v>
      </c>
      <c r="E614" s="0" t="s">
        <v>1096</v>
      </c>
      <c r="F614" s="0" t="s">
        <v>614</v>
      </c>
      <c r="H614" s="0" t="n">
        <v>1613</v>
      </c>
      <c r="I614" s="0" t="s">
        <v>655</v>
      </c>
      <c r="J614" s="0" t="s">
        <v>36</v>
      </c>
      <c r="K614" s="0" t="s">
        <v>36</v>
      </c>
      <c r="P614" s="0" t="s">
        <v>1107</v>
      </c>
      <c r="R614" s="0" t="s">
        <v>1098</v>
      </c>
      <c r="S614" s="0" t="s">
        <v>38</v>
      </c>
      <c r="T614" s="0" t="n">
        <v>3</v>
      </c>
      <c r="U614" s="0" t="s">
        <v>1099</v>
      </c>
      <c r="V614" s="0" t="s">
        <v>1100</v>
      </c>
      <c r="Z614" s="0" t="str">
        <f aca="false">HYPERLINK("http://lutemusic.org/composers/Campion/songs/book_1/06_bravely_decked_come_forth_bright_day/bravely_decked_come_forth_bright_day_VB.ft3")</f>
        <v>http://lutemusic.org/composers/Campion/songs/book_1/06_bravely_decked_come_forth_bright_day/bravely_decked_come_forth_bright_day_VB.ft3</v>
      </c>
      <c r="AA614" s="0" t="str">
        <f aca="false">HYPERLINK("http://lutemusic.org/composers/Campion/songs/book_1/06_bravely_decked_come_forth_bright_day/pdf/bravely_decked_come_forth_bright_day_VB.pdf")</f>
        <v>http://lutemusic.org/composers/Campion/songs/book_1/06_bravely_decked_come_forth_bright_day/pdf/bravely_decked_come_forth_bright_day_VB.pdf</v>
      </c>
      <c r="AB614" s="0" t="str">
        <f aca="false">HYPERLINK("http://lutemusic.org/composers/Campion/songs/book_1/06_bravely_decked_come_forth_bright_day/midi/bravely_decked_come_forth_bright_day_VB.mid")</f>
        <v>http://lutemusic.org/composers/Campion/songs/book_1/06_bravely_decked_come_forth_bright_day/midi/bravely_decked_come_forth_bright_day_VB.mid</v>
      </c>
      <c r="AC614" s="0" t="n">
        <v>1573937409</v>
      </c>
      <c r="AD614" s="0" t="n">
        <v>1586042063</v>
      </c>
    </row>
    <row r="615" customFormat="false" ht="12.8" hidden="false" customHeight="false" outlineLevel="0" collapsed="false">
      <c r="A615" s="0" t="s">
        <v>1108</v>
      </c>
      <c r="C615" s="0" t="s">
        <v>1096</v>
      </c>
      <c r="E615" s="0" t="s">
        <v>1096</v>
      </c>
      <c r="F615" s="0" t="s">
        <v>614</v>
      </c>
      <c r="H615" s="0" t="n">
        <v>1613</v>
      </c>
      <c r="I615" s="0" t="s">
        <v>1054</v>
      </c>
      <c r="J615" s="0" t="s">
        <v>36</v>
      </c>
      <c r="K615" s="0" t="s">
        <v>36</v>
      </c>
      <c r="P615" s="0" t="s">
        <v>1108</v>
      </c>
      <c r="R615" s="0" t="s">
        <v>1098</v>
      </c>
      <c r="S615" s="0" t="s">
        <v>66</v>
      </c>
      <c r="T615" s="0" t="n">
        <v>2</v>
      </c>
      <c r="U615" s="0" t="s">
        <v>1099</v>
      </c>
      <c r="V615" s="0" t="s">
        <v>990</v>
      </c>
      <c r="Z615" s="0" t="str">
        <f aca="false">HYPERLINK("http://lutemusic.org/composers/Campion/songs/book_1/07_to_music_bent/to_music_bent.ft3")</f>
        <v>http://lutemusic.org/composers/Campion/songs/book_1/07_to_music_bent/to_music_bent.ft3</v>
      </c>
      <c r="AA615" s="0" t="str">
        <f aca="false">HYPERLINK("http://lutemusic.org/composers/Campion/songs/book_1/07_to_music_bent/pdf/to_music_bent.pdf")</f>
        <v>http://lutemusic.org/composers/Campion/songs/book_1/07_to_music_bent/pdf/to_music_bent.pdf</v>
      </c>
      <c r="AB615" s="0" t="str">
        <f aca="false">HYPERLINK("http://lutemusic.org/composers/Campion/songs/book_1/07_to_music_bent/midi/to_music_bent.mid")</f>
        <v>http://lutemusic.org/composers/Campion/songs/book_1/07_to_music_bent/midi/to_music_bent.mid</v>
      </c>
      <c r="AC615" s="0" t="n">
        <v>1573937409</v>
      </c>
      <c r="AD615" s="0" t="n">
        <v>1586042063</v>
      </c>
    </row>
    <row r="616" customFormat="false" ht="12.8" hidden="false" customHeight="false" outlineLevel="0" collapsed="false">
      <c r="A616" s="0" t="s">
        <v>1108</v>
      </c>
      <c r="C616" s="0" t="s">
        <v>1096</v>
      </c>
      <c r="E616" s="0" t="s">
        <v>1096</v>
      </c>
      <c r="F616" s="0" t="s">
        <v>614</v>
      </c>
      <c r="H616" s="0" t="n">
        <v>1613</v>
      </c>
      <c r="I616" s="0" t="s">
        <v>1054</v>
      </c>
      <c r="J616" s="0" t="s">
        <v>36</v>
      </c>
      <c r="K616" s="0" t="s">
        <v>36</v>
      </c>
      <c r="P616" s="0" t="s">
        <v>1108</v>
      </c>
      <c r="R616" s="0" t="s">
        <v>1098</v>
      </c>
      <c r="S616" s="0" t="s">
        <v>66</v>
      </c>
      <c r="T616" s="0" t="n">
        <v>2</v>
      </c>
      <c r="U616" s="0" t="s">
        <v>1099</v>
      </c>
      <c r="V616" s="0" t="s">
        <v>535</v>
      </c>
      <c r="Z616" s="0" t="str">
        <f aca="false">HYPERLINK("http://lutemusic.org/composers/Campion/songs/book_1/07_to_music_bent/to_music_bent_4.ft3")</f>
        <v>http://lutemusic.org/composers/Campion/songs/book_1/07_to_music_bent/to_music_bent_4.ft3</v>
      </c>
      <c r="AA616" s="0" t="str">
        <f aca="false">HYPERLINK("http://lutemusic.org/composers/Campion/songs/book_1/07_to_music_bent/pdf/to_music_bent_4.pdf")</f>
        <v>http://lutemusic.org/composers/Campion/songs/book_1/07_to_music_bent/pdf/to_music_bent_4.pdf</v>
      </c>
      <c r="AB616" s="0" t="str">
        <f aca="false">HYPERLINK("http://lutemusic.org/composers/Campion/songs/book_1/07_to_music_bent/midi/to_music_bent_4.mid")</f>
        <v>http://lutemusic.org/composers/Campion/songs/book_1/07_to_music_bent/midi/to_music_bent_4.mid</v>
      </c>
      <c r="AC616" s="0" t="n">
        <v>1573937409</v>
      </c>
      <c r="AD616" s="0" t="n">
        <v>1586042063</v>
      </c>
    </row>
    <row r="617" customFormat="false" ht="12.8" hidden="false" customHeight="false" outlineLevel="0" collapsed="false">
      <c r="A617" s="0" t="s">
        <v>1108</v>
      </c>
      <c r="C617" s="0" t="s">
        <v>1096</v>
      </c>
      <c r="E617" s="0" t="s">
        <v>1096</v>
      </c>
      <c r="F617" s="0" t="s">
        <v>614</v>
      </c>
      <c r="H617" s="0" t="n">
        <v>1613</v>
      </c>
      <c r="I617" s="0" t="s">
        <v>1054</v>
      </c>
      <c r="J617" s="0" t="s">
        <v>36</v>
      </c>
      <c r="K617" s="0" t="s">
        <v>36</v>
      </c>
      <c r="P617" s="0" t="s">
        <v>1108</v>
      </c>
      <c r="R617" s="0" t="s">
        <v>1098</v>
      </c>
      <c r="S617" s="0" t="s">
        <v>66</v>
      </c>
      <c r="T617" s="0" t="n">
        <v>2</v>
      </c>
      <c r="U617" s="0" t="s">
        <v>1099</v>
      </c>
      <c r="V617" s="0" t="s">
        <v>40</v>
      </c>
      <c r="Z617" s="0" t="str">
        <f aca="false">HYPERLINK("http://lutemusic.org/composers/Campion/songs/book_1/07_to_music_bent/to_music_bent_S.ft3")</f>
        <v>http://lutemusic.org/composers/Campion/songs/book_1/07_to_music_bent/to_music_bent_S.ft3</v>
      </c>
      <c r="AA617" s="0" t="str">
        <f aca="false">HYPERLINK("http://lutemusic.org/composers/Campion/songs/book_1/07_to_music_bent/pdf/to_music_bent_S.pdf")</f>
        <v>http://lutemusic.org/composers/Campion/songs/book_1/07_to_music_bent/pdf/to_music_bent_S.pdf</v>
      </c>
      <c r="AB617" s="0" t="str">
        <f aca="false">HYPERLINK("http://lutemusic.org/composers/Campion/songs/book_1/07_to_music_bent/midi/to_music_bent_S.mid")</f>
        <v>http://lutemusic.org/composers/Campion/songs/book_1/07_to_music_bent/midi/to_music_bent_S.mid</v>
      </c>
      <c r="AC617" s="0" t="n">
        <v>1573937409</v>
      </c>
      <c r="AD617" s="0" t="n">
        <v>1586042063</v>
      </c>
    </row>
    <row r="618" customFormat="false" ht="12.8" hidden="false" customHeight="false" outlineLevel="0" collapsed="false">
      <c r="A618" s="0" t="s">
        <v>1108</v>
      </c>
      <c r="C618" s="0" t="s">
        <v>1096</v>
      </c>
      <c r="E618" s="0" t="s">
        <v>1096</v>
      </c>
      <c r="F618" s="0" t="s">
        <v>614</v>
      </c>
      <c r="H618" s="0" t="n">
        <v>1613</v>
      </c>
      <c r="I618" s="0" t="s">
        <v>1054</v>
      </c>
      <c r="J618" s="0" t="s">
        <v>36</v>
      </c>
      <c r="K618" s="0" t="s">
        <v>36</v>
      </c>
      <c r="P618" s="0" t="s">
        <v>1108</v>
      </c>
      <c r="R618" s="0" t="s">
        <v>1098</v>
      </c>
      <c r="S618" s="0" t="s">
        <v>66</v>
      </c>
      <c r="T618" s="0" t="n">
        <v>2</v>
      </c>
      <c r="U618" s="0" t="s">
        <v>1099</v>
      </c>
      <c r="V618" s="0" t="s">
        <v>63</v>
      </c>
      <c r="Z618" s="0" t="str">
        <f aca="false">HYPERLINK("http://lutemusic.org/composers/Campion/songs/book_1/07_to_music_bent/to_music_bent_T.ft3")</f>
        <v>http://lutemusic.org/composers/Campion/songs/book_1/07_to_music_bent/to_music_bent_T.ft3</v>
      </c>
      <c r="AA618" s="0" t="str">
        <f aca="false">HYPERLINK("http://lutemusic.org/composers/Campion/songs/book_1/07_to_music_bent/pdf/to_music_bent_T.pdf")</f>
        <v>http://lutemusic.org/composers/Campion/songs/book_1/07_to_music_bent/pdf/to_music_bent_T.pdf</v>
      </c>
      <c r="AB618" s="0" t="str">
        <f aca="false">HYPERLINK("http://lutemusic.org/composers/Campion/songs/book_1/07_to_music_bent/midi/to_music_bent_T.mid")</f>
        <v>http://lutemusic.org/composers/Campion/songs/book_1/07_to_music_bent/midi/to_music_bent_T.mid</v>
      </c>
      <c r="AC618" s="0" t="n">
        <v>1573937409</v>
      </c>
      <c r="AD618" s="0" t="n">
        <v>1586042063</v>
      </c>
    </row>
    <row r="619" customFormat="false" ht="12.8" hidden="false" customHeight="false" outlineLevel="0" collapsed="false">
      <c r="A619" s="0" t="s">
        <v>1108</v>
      </c>
      <c r="C619" s="0" t="s">
        <v>1096</v>
      </c>
      <c r="E619" s="0" t="s">
        <v>1096</v>
      </c>
      <c r="F619" s="0" t="s">
        <v>614</v>
      </c>
      <c r="H619" s="0" t="n">
        <v>1613</v>
      </c>
      <c r="I619" s="0" t="s">
        <v>1054</v>
      </c>
      <c r="J619" s="0" t="s">
        <v>36</v>
      </c>
      <c r="K619" s="0" t="s">
        <v>36</v>
      </c>
      <c r="P619" s="0" t="s">
        <v>1108</v>
      </c>
      <c r="R619" s="0" t="s">
        <v>1098</v>
      </c>
      <c r="S619" s="0" t="s">
        <v>66</v>
      </c>
      <c r="T619" s="0" t="n">
        <v>2</v>
      </c>
      <c r="U619" s="0" t="s">
        <v>1099</v>
      </c>
      <c r="V619" s="0" t="s">
        <v>1100</v>
      </c>
      <c r="Z619" s="0" t="str">
        <f aca="false">HYPERLINK("http://lutemusic.org/composers/Campion/songs/book_1/07_to_music_bent/to_music_bent_VB.ft3")</f>
        <v>http://lutemusic.org/composers/Campion/songs/book_1/07_to_music_bent/to_music_bent_VB.ft3</v>
      </c>
      <c r="AA619" s="0" t="str">
        <f aca="false">HYPERLINK("http://lutemusic.org/composers/Campion/songs/book_1/07_to_music_bent/pdf/to_music_bent_VB.pdf")</f>
        <v>http://lutemusic.org/composers/Campion/songs/book_1/07_to_music_bent/pdf/to_music_bent_VB.pdf</v>
      </c>
      <c r="AB619" s="0" t="str">
        <f aca="false">HYPERLINK("http://lutemusic.org/composers/Campion/songs/book_1/07_to_music_bent/midi/to_music_bent_VB.mid")</f>
        <v>http://lutemusic.org/composers/Campion/songs/book_1/07_to_music_bent/midi/to_music_bent_VB.mid</v>
      </c>
      <c r="AC619" s="0" t="n">
        <v>1573937409</v>
      </c>
      <c r="AD619" s="0" t="n">
        <v>1586042063</v>
      </c>
    </row>
    <row r="620" customFormat="false" ht="12.8" hidden="false" customHeight="false" outlineLevel="0" collapsed="false">
      <c r="A620" s="0" t="s">
        <v>1109</v>
      </c>
      <c r="C620" s="0" t="s">
        <v>1096</v>
      </c>
      <c r="E620" s="0" t="s">
        <v>1096</v>
      </c>
      <c r="F620" s="0" t="s">
        <v>614</v>
      </c>
      <c r="H620" s="0" t="n">
        <v>1613</v>
      </c>
      <c r="I620" s="0" t="s">
        <v>1110</v>
      </c>
      <c r="J620" s="0" t="s">
        <v>36</v>
      </c>
      <c r="K620" s="0" t="s">
        <v>36</v>
      </c>
      <c r="P620" s="0" t="s">
        <v>1109</v>
      </c>
      <c r="R620" s="0" t="s">
        <v>1098</v>
      </c>
      <c r="S620" s="0" t="s">
        <v>338</v>
      </c>
      <c r="T620" s="0" t="n">
        <v>2</v>
      </c>
      <c r="U620" s="0" t="s">
        <v>1099</v>
      </c>
      <c r="V620" s="0" t="s">
        <v>990</v>
      </c>
      <c r="Z620" s="0" t="str">
        <f aca="false">HYPERLINK("http://lutemusic.org/composers/Campion/songs/book_1/08_tune_thy_music_to_thy_heart/tune_thy_music_to_thy_heart.ft3")</f>
        <v>http://lutemusic.org/composers/Campion/songs/book_1/08_tune_thy_music_to_thy_heart/tune_thy_music_to_thy_heart.ft3</v>
      </c>
      <c r="AA620" s="0" t="str">
        <f aca="false">HYPERLINK("http://lutemusic.org/composers/Campion/songs/book_1/08_tune_thy_music_to_thy_heart/pdf/tune_thy_music_to_thy_heart.pdf")</f>
        <v>http://lutemusic.org/composers/Campion/songs/book_1/08_tune_thy_music_to_thy_heart/pdf/tune_thy_music_to_thy_heart.pdf</v>
      </c>
      <c r="AB620" s="0" t="str">
        <f aca="false">HYPERLINK("http://lutemusic.org/composers/Campion/songs/book_1/08_tune_thy_music_to_thy_heart/midi/tune_thy_music_to_thy_heart.mid")</f>
        <v>http://lutemusic.org/composers/Campion/songs/book_1/08_tune_thy_music_to_thy_heart/midi/tune_thy_music_to_thy_heart.mid</v>
      </c>
      <c r="AC620" s="0" t="n">
        <v>1573937409</v>
      </c>
      <c r="AD620" s="0" t="n">
        <v>1586042063</v>
      </c>
    </row>
    <row r="621" customFormat="false" ht="12.8" hidden="false" customHeight="false" outlineLevel="0" collapsed="false">
      <c r="A621" s="0" t="s">
        <v>1109</v>
      </c>
      <c r="C621" s="0" t="s">
        <v>1096</v>
      </c>
      <c r="E621" s="0" t="s">
        <v>1096</v>
      </c>
      <c r="F621" s="0" t="s">
        <v>614</v>
      </c>
      <c r="H621" s="0" t="n">
        <v>1613</v>
      </c>
      <c r="I621" s="0" t="s">
        <v>1110</v>
      </c>
      <c r="J621" s="0" t="s">
        <v>36</v>
      </c>
      <c r="K621" s="0" t="s">
        <v>36</v>
      </c>
      <c r="P621" s="0" t="s">
        <v>1109</v>
      </c>
      <c r="R621" s="0" t="s">
        <v>1098</v>
      </c>
      <c r="S621" s="0" t="s">
        <v>338</v>
      </c>
      <c r="T621" s="0" t="n">
        <v>2</v>
      </c>
      <c r="U621" s="0" t="s">
        <v>1099</v>
      </c>
      <c r="V621" s="0" t="s">
        <v>535</v>
      </c>
      <c r="Z621" s="0" t="str">
        <f aca="false">HYPERLINK("http://lutemusic.org/composers/Campion/songs/book_1/08_tune_thy_music_to_thy_heart/tune_thy_music_to_thy_heart_4.ft3")</f>
        <v>http://lutemusic.org/composers/Campion/songs/book_1/08_tune_thy_music_to_thy_heart/tune_thy_music_to_thy_heart_4.ft3</v>
      </c>
      <c r="AA621" s="0" t="str">
        <f aca="false">HYPERLINK("http://lutemusic.org/composers/Campion/songs/book_1/08_tune_thy_music_to_thy_heart/pdf/tune_thy_music_to_thy_heart_4.pdf")</f>
        <v>http://lutemusic.org/composers/Campion/songs/book_1/08_tune_thy_music_to_thy_heart/pdf/tune_thy_music_to_thy_heart_4.pdf</v>
      </c>
      <c r="AB621" s="0" t="str">
        <f aca="false">HYPERLINK("http://lutemusic.org/composers/Campion/songs/book_1/08_tune_thy_music_to_thy_heart/midi/tune_thy_music_to_thy_heart_4.mid")</f>
        <v>http://lutemusic.org/composers/Campion/songs/book_1/08_tune_thy_music_to_thy_heart/midi/tune_thy_music_to_thy_heart_4.mid</v>
      </c>
      <c r="AC621" s="0" t="n">
        <v>1573937409</v>
      </c>
      <c r="AD621" s="0" t="n">
        <v>1586042063</v>
      </c>
    </row>
    <row r="622" customFormat="false" ht="12.8" hidden="false" customHeight="false" outlineLevel="0" collapsed="false">
      <c r="A622" s="0" t="s">
        <v>1109</v>
      </c>
      <c r="C622" s="0" t="s">
        <v>1096</v>
      </c>
      <c r="E622" s="0" t="s">
        <v>1096</v>
      </c>
      <c r="F622" s="0" t="s">
        <v>614</v>
      </c>
      <c r="H622" s="0" t="n">
        <v>1613</v>
      </c>
      <c r="I622" s="0" t="s">
        <v>1110</v>
      </c>
      <c r="J622" s="0" t="s">
        <v>36</v>
      </c>
      <c r="K622" s="0" t="s">
        <v>36</v>
      </c>
      <c r="P622" s="0" t="s">
        <v>1109</v>
      </c>
      <c r="R622" s="0" t="s">
        <v>1098</v>
      </c>
      <c r="S622" s="0" t="s">
        <v>338</v>
      </c>
      <c r="T622" s="0" t="n">
        <v>2</v>
      </c>
      <c r="U622" s="0" t="s">
        <v>1099</v>
      </c>
      <c r="V622" s="0" t="s">
        <v>40</v>
      </c>
      <c r="Z622" s="0" t="str">
        <f aca="false">HYPERLINK("http://lutemusic.org/composers/Campion/songs/book_1/08_tune_thy_music_to_thy_heart/tune_thy_music_to_thy_heart_S.ft3")</f>
        <v>http://lutemusic.org/composers/Campion/songs/book_1/08_tune_thy_music_to_thy_heart/tune_thy_music_to_thy_heart_S.ft3</v>
      </c>
      <c r="AA622" s="0" t="str">
        <f aca="false">HYPERLINK("http://lutemusic.org/composers/Campion/songs/book_1/08_tune_thy_music_to_thy_heart/pdf/tune_thy_music_to_thy_heart_S.pdf")</f>
        <v>http://lutemusic.org/composers/Campion/songs/book_1/08_tune_thy_music_to_thy_heart/pdf/tune_thy_music_to_thy_heart_S.pdf</v>
      </c>
      <c r="AB622" s="0" t="str">
        <f aca="false">HYPERLINK("http://lutemusic.org/composers/Campion/songs/book_1/08_tune_thy_music_to_thy_heart/midi/tune_thy_music_to_thy_heart_S.mid")</f>
        <v>http://lutemusic.org/composers/Campion/songs/book_1/08_tune_thy_music_to_thy_heart/midi/tune_thy_music_to_thy_heart_S.mid</v>
      </c>
      <c r="AC622" s="0" t="n">
        <v>1573937409</v>
      </c>
      <c r="AD622" s="0" t="n">
        <v>1586042063</v>
      </c>
    </row>
    <row r="623" customFormat="false" ht="12.8" hidden="false" customHeight="false" outlineLevel="0" collapsed="false">
      <c r="A623" s="0" t="s">
        <v>1109</v>
      </c>
      <c r="C623" s="0" t="s">
        <v>1096</v>
      </c>
      <c r="E623" s="0" t="s">
        <v>1096</v>
      </c>
      <c r="F623" s="0" t="s">
        <v>614</v>
      </c>
      <c r="H623" s="0" t="n">
        <v>1613</v>
      </c>
      <c r="I623" s="0" t="s">
        <v>1110</v>
      </c>
      <c r="J623" s="0" t="s">
        <v>36</v>
      </c>
      <c r="K623" s="0" t="s">
        <v>36</v>
      </c>
      <c r="P623" s="0" t="s">
        <v>1109</v>
      </c>
      <c r="R623" s="0" t="s">
        <v>1098</v>
      </c>
      <c r="S623" s="0" t="s">
        <v>338</v>
      </c>
      <c r="T623" s="0" t="n">
        <v>2</v>
      </c>
      <c r="U623" s="0" t="s">
        <v>1099</v>
      </c>
      <c r="V623" s="0" t="s">
        <v>63</v>
      </c>
      <c r="Z623" s="0" t="str">
        <f aca="false">HYPERLINK("http://lutemusic.org/composers/Campion/songs/book_1/08_tune_thy_music_to_thy_heart/tune_thy_music_to_thy_heart_T.ft3")</f>
        <v>http://lutemusic.org/composers/Campion/songs/book_1/08_tune_thy_music_to_thy_heart/tune_thy_music_to_thy_heart_T.ft3</v>
      </c>
      <c r="AA623" s="0" t="str">
        <f aca="false">HYPERLINK("http://lutemusic.org/composers/Campion/songs/book_1/08_tune_thy_music_to_thy_heart/pdf/tune_thy_music_to_thy_heart_T.pdf")</f>
        <v>http://lutemusic.org/composers/Campion/songs/book_1/08_tune_thy_music_to_thy_heart/pdf/tune_thy_music_to_thy_heart_T.pdf</v>
      </c>
      <c r="AB623" s="0" t="str">
        <f aca="false">HYPERLINK("http://lutemusic.org/composers/Campion/songs/book_1/08_tune_thy_music_to_thy_heart/midi/tune_thy_music_to_thy_heart_T.mid")</f>
        <v>http://lutemusic.org/composers/Campion/songs/book_1/08_tune_thy_music_to_thy_heart/midi/tune_thy_music_to_thy_heart_T.mid</v>
      </c>
      <c r="AC623" s="0" t="n">
        <v>1573937409</v>
      </c>
      <c r="AD623" s="0" t="n">
        <v>1586042063</v>
      </c>
    </row>
    <row r="624" customFormat="false" ht="12.8" hidden="false" customHeight="false" outlineLevel="0" collapsed="false">
      <c r="A624" s="0" t="s">
        <v>1109</v>
      </c>
      <c r="C624" s="0" t="s">
        <v>1096</v>
      </c>
      <c r="E624" s="0" t="s">
        <v>1096</v>
      </c>
      <c r="F624" s="0" t="s">
        <v>614</v>
      </c>
      <c r="H624" s="0" t="n">
        <v>1613</v>
      </c>
      <c r="I624" s="0" t="s">
        <v>1110</v>
      </c>
      <c r="J624" s="0" t="s">
        <v>36</v>
      </c>
      <c r="K624" s="0" t="s">
        <v>36</v>
      </c>
      <c r="P624" s="0" t="s">
        <v>1109</v>
      </c>
      <c r="R624" s="0" t="s">
        <v>1098</v>
      </c>
      <c r="S624" s="0" t="s">
        <v>338</v>
      </c>
      <c r="T624" s="0" t="n">
        <v>2</v>
      </c>
      <c r="U624" s="0" t="s">
        <v>1099</v>
      </c>
      <c r="V624" s="0" t="s">
        <v>1100</v>
      </c>
      <c r="Z624" s="0" t="str">
        <f aca="false">HYPERLINK("http://lutemusic.org/composers/Campion/songs/book_1/08_tune_thy_music_to_thy_heart/tune_thy_music_to_thy_heart_VB.ft3")</f>
        <v>http://lutemusic.org/composers/Campion/songs/book_1/08_tune_thy_music_to_thy_heart/tune_thy_music_to_thy_heart_VB.ft3</v>
      </c>
      <c r="AA624" s="0" t="str">
        <f aca="false">HYPERLINK("http://lutemusic.org/composers/Campion/songs/book_1/08_tune_thy_music_to_thy_heart/pdf/tune_thy_music_to_thy_heart_VB.pdf")</f>
        <v>http://lutemusic.org/composers/Campion/songs/book_1/08_tune_thy_music_to_thy_heart/pdf/tune_thy_music_to_thy_heart_VB.pdf</v>
      </c>
      <c r="AB624" s="0" t="str">
        <f aca="false">HYPERLINK("http://lutemusic.org/composers/Campion/songs/book_1/08_tune_thy_music_to_thy_heart/midi/tune_thy_music_to_thy_heart_VB.mid")</f>
        <v>http://lutemusic.org/composers/Campion/songs/book_1/08_tune_thy_music_to_thy_heart/midi/tune_thy_music_to_thy_heart_VB.mid</v>
      </c>
      <c r="AC624" s="0" t="n">
        <v>1573937409</v>
      </c>
      <c r="AD624" s="0" t="n">
        <v>1586042063</v>
      </c>
    </row>
    <row r="625" customFormat="false" ht="12.8" hidden="false" customHeight="false" outlineLevel="0" collapsed="false">
      <c r="A625" s="0" t="s">
        <v>1111</v>
      </c>
      <c r="C625" s="0" t="s">
        <v>1096</v>
      </c>
      <c r="E625" s="0" t="s">
        <v>1096</v>
      </c>
      <c r="F625" s="0" t="s">
        <v>614</v>
      </c>
      <c r="H625" s="0" t="n">
        <v>1613</v>
      </c>
      <c r="I625" s="0" t="s">
        <v>404</v>
      </c>
      <c r="J625" s="0" t="s">
        <v>36</v>
      </c>
      <c r="K625" s="0" t="s">
        <v>36</v>
      </c>
      <c r="P625" s="0" t="s">
        <v>1111</v>
      </c>
      <c r="R625" s="0" t="s">
        <v>1098</v>
      </c>
      <c r="S625" s="0" t="s">
        <v>119</v>
      </c>
      <c r="T625" s="0" t="n">
        <v>3</v>
      </c>
      <c r="U625" s="0" t="s">
        <v>1099</v>
      </c>
      <c r="V625" s="0" t="s">
        <v>990</v>
      </c>
      <c r="Z625" s="0" t="str">
        <f aca="false">HYPERLINK("http://lutemusic.org/composers/Campion/songs/book_1/09_most_sweet_and_pleasing/most_sweet_and_pleasing.ft3")</f>
        <v>http://lutemusic.org/composers/Campion/songs/book_1/09_most_sweet_and_pleasing/most_sweet_and_pleasing.ft3</v>
      </c>
      <c r="AA625" s="0" t="str">
        <f aca="false">HYPERLINK("http://lutemusic.org/composers/Campion/songs/book_1/09_most_sweet_and_pleasing/pdf/most_sweet_and_pleasing.pdf")</f>
        <v>http://lutemusic.org/composers/Campion/songs/book_1/09_most_sweet_and_pleasing/pdf/most_sweet_and_pleasing.pdf</v>
      </c>
      <c r="AB625" s="0" t="str">
        <f aca="false">HYPERLINK("http://lutemusic.org/composers/Campion/songs/book_1/09_most_sweet_and_pleasing/midi/most_sweet_and_pleasing.mid")</f>
        <v>http://lutemusic.org/composers/Campion/songs/book_1/09_most_sweet_and_pleasing/midi/most_sweet_and_pleasing.mid</v>
      </c>
      <c r="AC625" s="0" t="n">
        <v>1573937409</v>
      </c>
      <c r="AD625" s="0" t="n">
        <v>1586042063</v>
      </c>
    </row>
    <row r="626" customFormat="false" ht="12.8" hidden="false" customHeight="false" outlineLevel="0" collapsed="false">
      <c r="A626" s="0" t="s">
        <v>1111</v>
      </c>
      <c r="C626" s="0" t="s">
        <v>1096</v>
      </c>
      <c r="E626" s="0" t="s">
        <v>1096</v>
      </c>
      <c r="F626" s="0" t="s">
        <v>614</v>
      </c>
      <c r="H626" s="0" t="n">
        <v>1613</v>
      </c>
      <c r="I626" s="0" t="s">
        <v>404</v>
      </c>
      <c r="J626" s="0" t="s">
        <v>36</v>
      </c>
      <c r="K626" s="0" t="s">
        <v>36</v>
      </c>
      <c r="P626" s="0" t="s">
        <v>1111</v>
      </c>
      <c r="R626" s="0" t="s">
        <v>1098</v>
      </c>
      <c r="S626" s="0" t="s">
        <v>119</v>
      </c>
      <c r="T626" s="0" t="n">
        <v>3</v>
      </c>
      <c r="U626" s="0" t="s">
        <v>1099</v>
      </c>
      <c r="V626" s="0" t="s">
        <v>535</v>
      </c>
      <c r="Z626" s="0" t="str">
        <f aca="false">HYPERLINK("http://lutemusic.org/composers/Campion/songs/book_1/09_most_sweet_and_pleasing/most_sweet_and_pleasing_4.ft3")</f>
        <v>http://lutemusic.org/composers/Campion/songs/book_1/09_most_sweet_and_pleasing/most_sweet_and_pleasing_4.ft3</v>
      </c>
      <c r="AA626" s="0" t="str">
        <f aca="false">HYPERLINK("http://lutemusic.org/composers/Campion/songs/book_1/09_most_sweet_and_pleasing/pdf/most_sweet_and_pleasing_4.pdf")</f>
        <v>http://lutemusic.org/composers/Campion/songs/book_1/09_most_sweet_and_pleasing/pdf/most_sweet_and_pleasing_4.pdf</v>
      </c>
      <c r="AB626" s="0" t="str">
        <f aca="false">HYPERLINK("http://lutemusic.org/composers/Campion/songs/book_1/09_most_sweet_and_pleasing/midi/most_sweet_and_pleasing_4.mid")</f>
        <v>http://lutemusic.org/composers/Campion/songs/book_1/09_most_sweet_and_pleasing/midi/most_sweet_and_pleasing_4.mid</v>
      </c>
      <c r="AC626" s="0" t="n">
        <v>1573937409</v>
      </c>
      <c r="AD626" s="0" t="n">
        <v>1586042063</v>
      </c>
    </row>
    <row r="627" customFormat="false" ht="12.8" hidden="false" customHeight="false" outlineLevel="0" collapsed="false">
      <c r="A627" s="0" t="s">
        <v>1111</v>
      </c>
      <c r="C627" s="0" t="s">
        <v>1096</v>
      </c>
      <c r="E627" s="0" t="s">
        <v>1096</v>
      </c>
      <c r="F627" s="0" t="s">
        <v>614</v>
      </c>
      <c r="H627" s="0" t="n">
        <v>1613</v>
      </c>
      <c r="I627" s="0" t="s">
        <v>404</v>
      </c>
      <c r="J627" s="0" t="s">
        <v>36</v>
      </c>
      <c r="K627" s="0" t="s">
        <v>36</v>
      </c>
      <c r="P627" s="0" t="s">
        <v>1111</v>
      </c>
      <c r="R627" s="0" t="s">
        <v>1098</v>
      </c>
      <c r="S627" s="0" t="s">
        <v>119</v>
      </c>
      <c r="T627" s="0" t="n">
        <v>3</v>
      </c>
      <c r="U627" s="0" t="s">
        <v>1099</v>
      </c>
      <c r="V627" s="0" t="s">
        <v>40</v>
      </c>
      <c r="Z627" s="0" t="str">
        <f aca="false">HYPERLINK("http://lutemusic.org/composers/Campion/songs/book_1/09_most_sweet_and_pleasing/most_sweet_and_pleasing_S.ft3")</f>
        <v>http://lutemusic.org/composers/Campion/songs/book_1/09_most_sweet_and_pleasing/most_sweet_and_pleasing_S.ft3</v>
      </c>
      <c r="AA627" s="0" t="str">
        <f aca="false">HYPERLINK("http://lutemusic.org/composers/Campion/songs/book_1/09_most_sweet_and_pleasing/pdf/most_sweet_and_pleasing_S.pdf")</f>
        <v>http://lutemusic.org/composers/Campion/songs/book_1/09_most_sweet_and_pleasing/pdf/most_sweet_and_pleasing_S.pdf</v>
      </c>
      <c r="AB627" s="0" t="str">
        <f aca="false">HYPERLINK("http://lutemusic.org/composers/Campion/songs/book_1/09_most_sweet_and_pleasing/midi/most_sweet_and_pleasing_S.mid")</f>
        <v>http://lutemusic.org/composers/Campion/songs/book_1/09_most_sweet_and_pleasing/midi/most_sweet_and_pleasing_S.mid</v>
      </c>
      <c r="AC627" s="0" t="n">
        <v>1573937409</v>
      </c>
      <c r="AD627" s="0" t="n">
        <v>1586042063</v>
      </c>
    </row>
    <row r="628" customFormat="false" ht="12.8" hidden="false" customHeight="false" outlineLevel="0" collapsed="false">
      <c r="A628" s="0" t="s">
        <v>1111</v>
      </c>
      <c r="C628" s="0" t="s">
        <v>1096</v>
      </c>
      <c r="E628" s="0" t="s">
        <v>1096</v>
      </c>
      <c r="F628" s="0" t="s">
        <v>614</v>
      </c>
      <c r="H628" s="0" t="n">
        <v>1613</v>
      </c>
      <c r="I628" s="0" t="s">
        <v>404</v>
      </c>
      <c r="J628" s="0" t="s">
        <v>36</v>
      </c>
      <c r="K628" s="0" t="s">
        <v>36</v>
      </c>
      <c r="P628" s="0" t="s">
        <v>1111</v>
      </c>
      <c r="R628" s="0" t="s">
        <v>1098</v>
      </c>
      <c r="S628" s="0" t="s">
        <v>119</v>
      </c>
      <c r="T628" s="0" t="n">
        <v>3</v>
      </c>
      <c r="U628" s="0" t="s">
        <v>1099</v>
      </c>
      <c r="V628" s="0" t="s">
        <v>63</v>
      </c>
      <c r="Z628" s="0" t="str">
        <f aca="false">HYPERLINK("http://lutemusic.org/composers/Campion/songs/book_1/09_most_sweet_and_pleasing/most_sweet_and_pleasing_T.ft3")</f>
        <v>http://lutemusic.org/composers/Campion/songs/book_1/09_most_sweet_and_pleasing/most_sweet_and_pleasing_T.ft3</v>
      </c>
      <c r="AA628" s="0" t="str">
        <f aca="false">HYPERLINK("http://lutemusic.org/composers/Campion/songs/book_1/09_most_sweet_and_pleasing/pdf/most_sweet_and_pleasing_T.pdf")</f>
        <v>http://lutemusic.org/composers/Campion/songs/book_1/09_most_sweet_and_pleasing/pdf/most_sweet_and_pleasing_T.pdf</v>
      </c>
      <c r="AB628" s="0" t="str">
        <f aca="false">HYPERLINK("http://lutemusic.org/composers/Campion/songs/book_1/09_most_sweet_and_pleasing/midi/most_sweet_and_pleasing_T.mid")</f>
        <v>http://lutemusic.org/composers/Campion/songs/book_1/09_most_sweet_and_pleasing/midi/most_sweet_and_pleasing_T.mid</v>
      </c>
      <c r="AC628" s="0" t="n">
        <v>1573937409</v>
      </c>
      <c r="AD628" s="0" t="n">
        <v>1586042063</v>
      </c>
    </row>
    <row r="629" customFormat="false" ht="12.8" hidden="false" customHeight="false" outlineLevel="0" collapsed="false">
      <c r="A629" s="0" t="s">
        <v>1111</v>
      </c>
      <c r="C629" s="0" t="s">
        <v>1096</v>
      </c>
      <c r="E629" s="0" t="s">
        <v>1096</v>
      </c>
      <c r="F629" s="0" t="s">
        <v>614</v>
      </c>
      <c r="H629" s="0" t="n">
        <v>1613</v>
      </c>
      <c r="I629" s="0" t="s">
        <v>404</v>
      </c>
      <c r="J629" s="0" t="s">
        <v>36</v>
      </c>
      <c r="K629" s="0" t="s">
        <v>36</v>
      </c>
      <c r="P629" s="0" t="s">
        <v>1111</v>
      </c>
      <c r="R629" s="0" t="s">
        <v>1098</v>
      </c>
      <c r="S629" s="0" t="s">
        <v>119</v>
      </c>
      <c r="T629" s="0" t="n">
        <v>3</v>
      </c>
      <c r="U629" s="0" t="s">
        <v>1099</v>
      </c>
      <c r="V629" s="0" t="s">
        <v>1100</v>
      </c>
      <c r="Z629" s="0" t="str">
        <f aca="false">HYPERLINK("http://lutemusic.org/composers/Campion/songs/book_1/09_most_sweet_and_pleasing/most_sweet_and_pleasing_VB.ft3")</f>
        <v>http://lutemusic.org/composers/Campion/songs/book_1/09_most_sweet_and_pleasing/most_sweet_and_pleasing_VB.ft3</v>
      </c>
      <c r="AA629" s="0" t="str">
        <f aca="false">HYPERLINK("http://lutemusic.org/composers/Campion/songs/book_1/09_most_sweet_and_pleasing/pdf/most_sweet_and_pleasing_VB.pdf")</f>
        <v>http://lutemusic.org/composers/Campion/songs/book_1/09_most_sweet_and_pleasing/pdf/most_sweet_and_pleasing_VB.pdf</v>
      </c>
      <c r="AB629" s="0" t="str">
        <f aca="false">HYPERLINK("http://lutemusic.org/composers/Campion/songs/book_1/09_most_sweet_and_pleasing/midi/most_sweet_and_pleasing_VB.mid")</f>
        <v>http://lutemusic.org/composers/Campion/songs/book_1/09_most_sweet_and_pleasing/midi/most_sweet_and_pleasing_VB.mid</v>
      </c>
      <c r="AC629" s="0" t="n">
        <v>1573937409</v>
      </c>
      <c r="AD629" s="0" t="n">
        <v>1586042063</v>
      </c>
    </row>
    <row r="630" customFormat="false" ht="12.8" hidden="false" customHeight="false" outlineLevel="0" collapsed="false">
      <c r="A630" s="0" t="s">
        <v>1112</v>
      </c>
      <c r="C630" s="0" t="s">
        <v>1096</v>
      </c>
      <c r="E630" s="0" t="s">
        <v>1096</v>
      </c>
      <c r="F630" s="0" t="s">
        <v>614</v>
      </c>
      <c r="H630" s="0" t="n">
        <v>1613</v>
      </c>
      <c r="I630" s="0" t="s">
        <v>870</v>
      </c>
      <c r="J630" s="0" t="s">
        <v>36</v>
      </c>
      <c r="K630" s="0" t="s">
        <v>36</v>
      </c>
      <c r="P630" s="0" t="s">
        <v>1112</v>
      </c>
      <c r="R630" s="0" t="s">
        <v>1098</v>
      </c>
      <c r="S630" s="0" t="s">
        <v>38</v>
      </c>
      <c r="T630" s="0" t="n">
        <v>2</v>
      </c>
      <c r="U630" s="0" t="s">
        <v>1099</v>
      </c>
      <c r="V630" s="0" t="s">
        <v>990</v>
      </c>
      <c r="Z630" s="0" t="str">
        <f aca="false">HYPERLINK("http://lutemusic.org/composers/Campion/songs/book_1/10_wise_men_patience_never_want/wise_men_patience_never_want.ft3")</f>
        <v>http://lutemusic.org/composers/Campion/songs/book_1/10_wise_men_patience_never_want/wise_men_patience_never_want.ft3</v>
      </c>
      <c r="AA630" s="0" t="str">
        <f aca="false">HYPERLINK("http://lutemusic.org/composers/Campion/songs/book_1/10_wise_men_patience_never_want/pdf/wise_men_patience_never_want.pdf")</f>
        <v>http://lutemusic.org/composers/Campion/songs/book_1/10_wise_men_patience_never_want/pdf/wise_men_patience_never_want.pdf</v>
      </c>
      <c r="AB630" s="0" t="str">
        <f aca="false">HYPERLINK("http://lutemusic.org/composers/Campion/songs/book_1/10_wise_men_patience_never_want/midi/wise_men_patience_never_want.mid")</f>
        <v>http://lutemusic.org/composers/Campion/songs/book_1/10_wise_men_patience_never_want/midi/wise_men_patience_never_want.mid</v>
      </c>
      <c r="AC630" s="0" t="n">
        <v>1573937409</v>
      </c>
      <c r="AD630" s="0" t="n">
        <v>1586042063</v>
      </c>
    </row>
    <row r="631" customFormat="false" ht="12.8" hidden="false" customHeight="false" outlineLevel="0" collapsed="false">
      <c r="A631" s="0" t="s">
        <v>1112</v>
      </c>
      <c r="C631" s="0" t="s">
        <v>1096</v>
      </c>
      <c r="E631" s="0" t="s">
        <v>1096</v>
      </c>
      <c r="F631" s="0" t="s">
        <v>614</v>
      </c>
      <c r="H631" s="0" t="n">
        <v>1613</v>
      </c>
      <c r="I631" s="0" t="s">
        <v>870</v>
      </c>
      <c r="J631" s="0" t="s">
        <v>36</v>
      </c>
      <c r="K631" s="0" t="s">
        <v>36</v>
      </c>
      <c r="P631" s="0" t="s">
        <v>1112</v>
      </c>
      <c r="R631" s="0" t="s">
        <v>1098</v>
      </c>
      <c r="S631" s="0" t="s">
        <v>38</v>
      </c>
      <c r="T631" s="0" t="n">
        <v>2</v>
      </c>
      <c r="U631" s="0" t="s">
        <v>1099</v>
      </c>
      <c r="V631" s="0" t="s">
        <v>535</v>
      </c>
      <c r="Z631" s="0" t="str">
        <f aca="false">HYPERLINK("http://lutemusic.org/composers/Campion/songs/book_1/10_wise_men_patience_never_want/wise_men_patience_never_want_4.ft3")</f>
        <v>http://lutemusic.org/composers/Campion/songs/book_1/10_wise_men_patience_never_want/wise_men_patience_never_want_4.ft3</v>
      </c>
      <c r="AA631" s="0" t="str">
        <f aca="false">HYPERLINK("http://lutemusic.org/composers/Campion/songs/book_1/10_wise_men_patience_never_want/pdf/wise_men_patience_never_want_4.pdf")</f>
        <v>http://lutemusic.org/composers/Campion/songs/book_1/10_wise_men_patience_never_want/pdf/wise_men_patience_never_want_4.pdf</v>
      </c>
      <c r="AB631" s="0" t="str">
        <f aca="false">HYPERLINK("http://lutemusic.org/composers/Campion/songs/book_1/10_wise_men_patience_never_want/midi/wise_men_patience_never_want_4.mid")</f>
        <v>http://lutemusic.org/composers/Campion/songs/book_1/10_wise_men_patience_never_want/midi/wise_men_patience_never_want_4.mid</v>
      </c>
      <c r="AC631" s="0" t="n">
        <v>1573937409</v>
      </c>
      <c r="AD631" s="0" t="n">
        <v>1586042063</v>
      </c>
    </row>
    <row r="632" customFormat="false" ht="12.8" hidden="false" customHeight="false" outlineLevel="0" collapsed="false">
      <c r="A632" s="0" t="s">
        <v>1112</v>
      </c>
      <c r="C632" s="0" t="s">
        <v>1096</v>
      </c>
      <c r="E632" s="0" t="s">
        <v>1096</v>
      </c>
      <c r="F632" s="0" t="s">
        <v>614</v>
      </c>
      <c r="H632" s="0" t="n">
        <v>1613</v>
      </c>
      <c r="I632" s="0" t="s">
        <v>870</v>
      </c>
      <c r="J632" s="0" t="s">
        <v>36</v>
      </c>
      <c r="K632" s="0" t="s">
        <v>36</v>
      </c>
      <c r="P632" s="0" t="s">
        <v>1112</v>
      </c>
      <c r="R632" s="0" t="s">
        <v>1098</v>
      </c>
      <c r="S632" s="0" t="s">
        <v>38</v>
      </c>
      <c r="T632" s="0" t="n">
        <v>2</v>
      </c>
      <c r="U632" s="0" t="s">
        <v>1099</v>
      </c>
      <c r="V632" s="0" t="s">
        <v>40</v>
      </c>
      <c r="Z632" s="0" t="str">
        <f aca="false">HYPERLINK("http://lutemusic.org/composers/Campion/songs/book_1/10_wise_men_patience_never_want/wise_men_patience_never_want_S.ft3")</f>
        <v>http://lutemusic.org/composers/Campion/songs/book_1/10_wise_men_patience_never_want/wise_men_patience_never_want_S.ft3</v>
      </c>
      <c r="AA632" s="0" t="str">
        <f aca="false">HYPERLINK("http://lutemusic.org/composers/Campion/songs/book_1/10_wise_men_patience_never_want/pdf/wise_men_patience_never_want_S.pdf")</f>
        <v>http://lutemusic.org/composers/Campion/songs/book_1/10_wise_men_patience_never_want/pdf/wise_men_patience_never_want_S.pdf</v>
      </c>
      <c r="AB632" s="0" t="str">
        <f aca="false">HYPERLINK("http://lutemusic.org/composers/Campion/songs/book_1/10_wise_men_patience_never_want/midi/wise_men_patience_never_want_S.mid")</f>
        <v>http://lutemusic.org/composers/Campion/songs/book_1/10_wise_men_patience_never_want/midi/wise_men_patience_never_want_S.mid</v>
      </c>
      <c r="AC632" s="0" t="n">
        <v>1573937409</v>
      </c>
      <c r="AD632" s="0" t="n">
        <v>1586042063</v>
      </c>
    </row>
    <row r="633" customFormat="false" ht="12.8" hidden="false" customHeight="false" outlineLevel="0" collapsed="false">
      <c r="A633" s="0" t="s">
        <v>1112</v>
      </c>
      <c r="C633" s="0" t="s">
        <v>1096</v>
      </c>
      <c r="E633" s="0" t="s">
        <v>1096</v>
      </c>
      <c r="F633" s="0" t="s">
        <v>614</v>
      </c>
      <c r="H633" s="0" t="n">
        <v>1613</v>
      </c>
      <c r="I633" s="0" t="s">
        <v>870</v>
      </c>
      <c r="J633" s="0" t="s">
        <v>36</v>
      </c>
      <c r="K633" s="0" t="s">
        <v>36</v>
      </c>
      <c r="P633" s="0" t="s">
        <v>1112</v>
      </c>
      <c r="R633" s="0" t="s">
        <v>1098</v>
      </c>
      <c r="S633" s="0" t="s">
        <v>38</v>
      </c>
      <c r="T633" s="0" t="n">
        <v>2</v>
      </c>
      <c r="U633" s="0" t="s">
        <v>1099</v>
      </c>
      <c r="V633" s="0" t="s">
        <v>63</v>
      </c>
      <c r="Z633" s="0" t="str">
        <f aca="false">HYPERLINK("http://lutemusic.org/composers/Campion/songs/book_1/10_wise_men_patience_never_want/wise_men_patience_never_want_T.ft3")</f>
        <v>http://lutemusic.org/composers/Campion/songs/book_1/10_wise_men_patience_never_want/wise_men_patience_never_want_T.ft3</v>
      </c>
      <c r="AA633" s="0" t="str">
        <f aca="false">HYPERLINK("http://lutemusic.org/composers/Campion/songs/book_1/10_wise_men_patience_never_want/pdf/wise_men_patience_never_want_T.pdf")</f>
        <v>http://lutemusic.org/composers/Campion/songs/book_1/10_wise_men_patience_never_want/pdf/wise_men_patience_never_want_T.pdf</v>
      </c>
      <c r="AB633" s="0" t="str">
        <f aca="false">HYPERLINK("http://lutemusic.org/composers/Campion/songs/book_1/10_wise_men_patience_never_want/midi/wise_men_patience_never_want_T.mid")</f>
        <v>http://lutemusic.org/composers/Campion/songs/book_1/10_wise_men_patience_never_want/midi/wise_men_patience_never_want_T.mid</v>
      </c>
      <c r="AC633" s="0" t="n">
        <v>1573937409</v>
      </c>
      <c r="AD633" s="0" t="n">
        <v>1586042063</v>
      </c>
    </row>
    <row r="634" customFormat="false" ht="12.8" hidden="false" customHeight="false" outlineLevel="0" collapsed="false">
      <c r="A634" s="0" t="s">
        <v>1112</v>
      </c>
      <c r="C634" s="0" t="s">
        <v>1096</v>
      </c>
      <c r="E634" s="0" t="s">
        <v>1096</v>
      </c>
      <c r="F634" s="0" t="s">
        <v>614</v>
      </c>
      <c r="H634" s="0" t="n">
        <v>1613</v>
      </c>
      <c r="I634" s="0" t="s">
        <v>870</v>
      </c>
      <c r="J634" s="0" t="s">
        <v>36</v>
      </c>
      <c r="K634" s="0" t="s">
        <v>36</v>
      </c>
      <c r="P634" s="0" t="s">
        <v>1112</v>
      </c>
      <c r="R634" s="0" t="s">
        <v>1098</v>
      </c>
      <c r="S634" s="0" t="s">
        <v>38</v>
      </c>
      <c r="T634" s="0" t="n">
        <v>2</v>
      </c>
      <c r="U634" s="0" t="s">
        <v>1099</v>
      </c>
      <c r="V634" s="0" t="s">
        <v>1100</v>
      </c>
      <c r="Z634" s="0" t="str">
        <f aca="false">HYPERLINK("http://lutemusic.org/composers/Campion/songs/book_1/10_wise_men_patience_never_want/wise_men_patience_never_want_VB.ft3")</f>
        <v>http://lutemusic.org/composers/Campion/songs/book_1/10_wise_men_patience_never_want/wise_men_patience_never_want_VB.ft3</v>
      </c>
      <c r="AA634" s="0" t="str">
        <f aca="false">HYPERLINK("http://lutemusic.org/composers/Campion/songs/book_1/10_wise_men_patience_never_want/pdf/wise_men_patience_never_want_VB.pdf")</f>
        <v>http://lutemusic.org/composers/Campion/songs/book_1/10_wise_men_patience_never_want/pdf/wise_men_patience_never_want_VB.pdf</v>
      </c>
      <c r="AB634" s="0" t="str">
        <f aca="false">HYPERLINK("http://lutemusic.org/composers/Campion/songs/book_1/10_wise_men_patience_never_want/midi/wise_men_patience_never_want_VB.mid")</f>
        <v>http://lutemusic.org/composers/Campion/songs/book_1/10_wise_men_patience_never_want/midi/wise_men_patience_never_want_VB.mid</v>
      </c>
      <c r="AC634" s="0" t="n">
        <v>1573937409</v>
      </c>
      <c r="AD634" s="0" t="n">
        <v>1586042063</v>
      </c>
    </row>
    <row r="635" customFormat="false" ht="12.8" hidden="false" customHeight="false" outlineLevel="0" collapsed="false">
      <c r="A635" s="0" t="s">
        <v>1113</v>
      </c>
      <c r="C635" s="0" t="s">
        <v>1096</v>
      </c>
      <c r="E635" s="0" t="s">
        <v>1096</v>
      </c>
      <c r="F635" s="0" t="s">
        <v>614</v>
      </c>
      <c r="H635" s="0" t="n">
        <v>1613</v>
      </c>
      <c r="I635" s="0" t="s">
        <v>1091</v>
      </c>
      <c r="J635" s="0" t="s">
        <v>36</v>
      </c>
      <c r="K635" s="0" t="s">
        <v>36</v>
      </c>
      <c r="P635" s="0" t="s">
        <v>1113</v>
      </c>
      <c r="R635" s="0" t="s">
        <v>1098</v>
      </c>
      <c r="S635" s="0" t="s">
        <v>84</v>
      </c>
      <c r="T635" s="0" t="n">
        <v>2</v>
      </c>
      <c r="U635" s="0" t="s">
        <v>1099</v>
      </c>
      <c r="V635" s="0" t="s">
        <v>1114</v>
      </c>
      <c r="Z635" s="0" t="str">
        <f aca="false">HYPERLINK("http://lutemusic.org/composers/Campion/songs/book_1/11_never_weather-beaten_sail/11_never_weather_beaten_sail_V.ft3")</f>
        <v>http://lutemusic.org/composers/Campion/songs/book_1/11_never_weather-beaten_sail/11_never_weather_beaten_sail_V.ft3</v>
      </c>
      <c r="AA635" s="0" t="str">
        <f aca="false">HYPERLINK("http://lutemusic.org/composers/Campion/songs/book_1/11_never_weather-beaten_sail/pdf/11_never_weather_beaten_sail_V.pdf")</f>
        <v>http://lutemusic.org/composers/Campion/songs/book_1/11_never_weather-beaten_sail/pdf/11_never_weather_beaten_sail_V.pdf</v>
      </c>
      <c r="AB635" s="0" t="str">
        <f aca="false">HYPERLINK("http://lutemusic.org/composers/Campion/songs/book_1/11_never_weather-beaten_sail/midi/11_never_weather_beaten_sail_V.mid")</f>
        <v>http://lutemusic.org/composers/Campion/songs/book_1/11_never_weather-beaten_sail/midi/11_never_weather_beaten_sail_V.mid</v>
      </c>
      <c r="AC635" s="0" t="n">
        <v>1573937409</v>
      </c>
      <c r="AD635" s="0" t="n">
        <v>1586042063</v>
      </c>
    </row>
    <row r="636" customFormat="false" ht="12.8" hidden="false" customHeight="false" outlineLevel="0" collapsed="false">
      <c r="A636" s="0" t="s">
        <v>1113</v>
      </c>
      <c r="C636" s="0" t="s">
        <v>1096</v>
      </c>
      <c r="E636" s="0" t="s">
        <v>1096</v>
      </c>
      <c r="F636" s="0" t="s">
        <v>614</v>
      </c>
      <c r="H636" s="0" t="n">
        <v>1613</v>
      </c>
      <c r="I636" s="0" t="s">
        <v>1091</v>
      </c>
      <c r="J636" s="0" t="s">
        <v>36</v>
      </c>
      <c r="K636" s="0" t="s">
        <v>36</v>
      </c>
      <c r="P636" s="0" t="s">
        <v>1113</v>
      </c>
      <c r="R636" s="0" t="s">
        <v>1098</v>
      </c>
      <c r="S636" s="0" t="s">
        <v>84</v>
      </c>
      <c r="T636" s="0" t="n">
        <v>2</v>
      </c>
      <c r="U636" s="0" t="s">
        <v>1099</v>
      </c>
      <c r="V636" s="0" t="s">
        <v>990</v>
      </c>
      <c r="Z636" s="0" t="str">
        <f aca="false">HYPERLINK("http://lutemusic.org/composers/Campion/songs/book_1/11_never_weather-beaten_sail/never_weather_beaten_sail.ft3")</f>
        <v>http://lutemusic.org/composers/Campion/songs/book_1/11_never_weather-beaten_sail/never_weather_beaten_sail.ft3</v>
      </c>
      <c r="AA636" s="0" t="str">
        <f aca="false">HYPERLINK("http://lutemusic.org/composers/Campion/songs/book_1/11_never_weather-beaten_sail/pdf/never_weather_beaten_sail.pdf")</f>
        <v>http://lutemusic.org/composers/Campion/songs/book_1/11_never_weather-beaten_sail/pdf/never_weather_beaten_sail.pdf</v>
      </c>
      <c r="AB636" s="0" t="str">
        <f aca="false">HYPERLINK("http://lutemusic.org/composers/Campion/songs/book_1/11_never_weather-beaten_sail/midi/never_weather_beaten_sail.mid")</f>
        <v>http://lutemusic.org/composers/Campion/songs/book_1/11_never_weather-beaten_sail/midi/never_weather_beaten_sail.mid</v>
      </c>
      <c r="AC636" s="0" t="n">
        <v>1573937409</v>
      </c>
      <c r="AD636" s="0" t="n">
        <v>1586042063</v>
      </c>
    </row>
    <row r="637" customFormat="false" ht="12.8" hidden="false" customHeight="false" outlineLevel="0" collapsed="false">
      <c r="A637" s="0" t="s">
        <v>1113</v>
      </c>
      <c r="C637" s="0" t="s">
        <v>1096</v>
      </c>
      <c r="E637" s="0" t="s">
        <v>1096</v>
      </c>
      <c r="F637" s="0" t="s">
        <v>614</v>
      </c>
      <c r="H637" s="0" t="n">
        <v>1613</v>
      </c>
      <c r="I637" s="0" t="s">
        <v>1091</v>
      </c>
      <c r="J637" s="0" t="s">
        <v>36</v>
      </c>
      <c r="K637" s="0" t="s">
        <v>36</v>
      </c>
      <c r="P637" s="0" t="s">
        <v>1113</v>
      </c>
      <c r="R637" s="0" t="s">
        <v>1098</v>
      </c>
      <c r="S637" s="0" t="s">
        <v>84</v>
      </c>
      <c r="T637" s="0" t="n">
        <v>2</v>
      </c>
      <c r="U637" s="0" t="s">
        <v>1099</v>
      </c>
      <c r="V637" s="0" t="s">
        <v>40</v>
      </c>
      <c r="Z637" s="0" t="str">
        <f aca="false">HYPERLINK("http://lutemusic.org/composers/Campion/songs/book_1/11_never_weather-beaten_sail/never_weather_beaten_sail_4.ft3")</f>
        <v>http://lutemusic.org/composers/Campion/songs/book_1/11_never_weather-beaten_sail/never_weather_beaten_sail_4.ft3</v>
      </c>
      <c r="AA637" s="0" t="str">
        <f aca="false">HYPERLINK("http://lutemusic.org/composers/Campion/songs/book_1/11_never_weather-beaten_sail/pdf/never_weather_beaten_sail_4.pdf")</f>
        <v>http://lutemusic.org/composers/Campion/songs/book_1/11_never_weather-beaten_sail/pdf/never_weather_beaten_sail_4.pdf</v>
      </c>
      <c r="AB637" s="0" t="str">
        <f aca="false">HYPERLINK("http://lutemusic.org/composers/Campion/songs/book_1/11_never_weather-beaten_sail/midi/never_weather_beaten_sail_4.mid")</f>
        <v>http://lutemusic.org/composers/Campion/songs/book_1/11_never_weather-beaten_sail/midi/never_weather_beaten_sail_4.mid</v>
      </c>
      <c r="AC637" s="0" t="n">
        <v>1573937409</v>
      </c>
      <c r="AD637" s="0" t="n">
        <v>1586042063</v>
      </c>
    </row>
    <row r="638" customFormat="false" ht="12.8" hidden="false" customHeight="false" outlineLevel="0" collapsed="false">
      <c r="A638" s="0" t="s">
        <v>1113</v>
      </c>
      <c r="C638" s="0" t="s">
        <v>1096</v>
      </c>
      <c r="E638" s="0" t="s">
        <v>1096</v>
      </c>
      <c r="F638" s="0" t="s">
        <v>614</v>
      </c>
      <c r="H638" s="0" t="n">
        <v>1613</v>
      </c>
      <c r="I638" s="0" t="s">
        <v>1091</v>
      </c>
      <c r="J638" s="0" t="s">
        <v>36</v>
      </c>
      <c r="K638" s="0" t="s">
        <v>36</v>
      </c>
      <c r="P638" s="0" t="s">
        <v>1113</v>
      </c>
      <c r="R638" s="0" t="s">
        <v>1098</v>
      </c>
      <c r="S638" s="0" t="s">
        <v>84</v>
      </c>
      <c r="T638" s="0" t="n">
        <v>2</v>
      </c>
      <c r="U638" s="0" t="s">
        <v>1099</v>
      </c>
      <c r="V638" s="0" t="s">
        <v>990</v>
      </c>
      <c r="Z638" s="0" t="str">
        <f aca="false">HYPERLINK("http://lutemusic.org/composers/Campion/songs/book_1/11_never_weather-beaten_sail/never_weather_beaten_sail_F.ft3")</f>
        <v>http://lutemusic.org/composers/Campion/songs/book_1/11_never_weather-beaten_sail/never_weather_beaten_sail_F.ft3</v>
      </c>
      <c r="AA638" s="0" t="str">
        <f aca="false">HYPERLINK("http://lutemusic.org/composers/Campion/songs/book_1/11_never_weather-beaten_sail/pdf/never_weather_beaten_sail_F.pdf")</f>
        <v>http://lutemusic.org/composers/Campion/songs/book_1/11_never_weather-beaten_sail/pdf/never_weather_beaten_sail_F.pdf</v>
      </c>
      <c r="AB638" s="0" t="str">
        <f aca="false">HYPERLINK("http://lutemusic.org/composers/Campion/songs/book_1/11_never_weather-beaten_sail/midi/never_weather_beaten_sail_F.mid")</f>
        <v>http://lutemusic.org/composers/Campion/songs/book_1/11_never_weather-beaten_sail/midi/never_weather_beaten_sail_F.mid</v>
      </c>
      <c r="AC638" s="0" t="n">
        <v>1573937409</v>
      </c>
      <c r="AD638" s="0" t="n">
        <v>1586042063</v>
      </c>
    </row>
    <row r="639" customFormat="false" ht="12.8" hidden="false" customHeight="false" outlineLevel="0" collapsed="false">
      <c r="A639" s="0" t="s">
        <v>1113</v>
      </c>
      <c r="C639" s="0" t="s">
        <v>1096</v>
      </c>
      <c r="E639" s="0" t="s">
        <v>1096</v>
      </c>
      <c r="F639" s="0" t="s">
        <v>614</v>
      </c>
      <c r="H639" s="0" t="n">
        <v>1613</v>
      </c>
      <c r="I639" s="0" t="s">
        <v>1091</v>
      </c>
      <c r="J639" s="0" t="s">
        <v>36</v>
      </c>
      <c r="K639" s="0" t="s">
        <v>36</v>
      </c>
      <c r="P639" s="0" t="s">
        <v>1113</v>
      </c>
      <c r="R639" s="0" t="s">
        <v>1098</v>
      </c>
      <c r="S639" s="0" t="s">
        <v>84</v>
      </c>
      <c r="T639" s="0" t="n">
        <v>2</v>
      </c>
      <c r="U639" s="0" t="s">
        <v>1099</v>
      </c>
      <c r="V639" s="0" t="s">
        <v>40</v>
      </c>
      <c r="Z639" s="0" t="str">
        <f aca="false">HYPERLINK("http://lutemusic.org/composers/Campion/songs/book_1/11_never_weather-beaten_sail/never_weather_beaten_sail_S.ft3")</f>
        <v>http://lutemusic.org/composers/Campion/songs/book_1/11_never_weather-beaten_sail/never_weather_beaten_sail_S.ft3</v>
      </c>
      <c r="AA639" s="0" t="str">
        <f aca="false">HYPERLINK("http://lutemusic.org/composers/Campion/songs/book_1/11_never_weather-beaten_sail/pdf/never_weather_beaten_sail_S.pdf")</f>
        <v>http://lutemusic.org/composers/Campion/songs/book_1/11_never_weather-beaten_sail/pdf/never_weather_beaten_sail_S.pdf</v>
      </c>
      <c r="AB639" s="0" t="str">
        <f aca="false">HYPERLINK("http://lutemusic.org/composers/Campion/songs/book_1/11_never_weather-beaten_sail/midi/never_weather_beaten_sail_S.mid")</f>
        <v>http://lutemusic.org/composers/Campion/songs/book_1/11_never_weather-beaten_sail/midi/never_weather_beaten_sail_S.mid</v>
      </c>
      <c r="AC639" s="0" t="n">
        <v>1573937409</v>
      </c>
      <c r="AD639" s="0" t="n">
        <v>1586042063</v>
      </c>
    </row>
    <row r="640" customFormat="false" ht="12.8" hidden="false" customHeight="false" outlineLevel="0" collapsed="false">
      <c r="A640" s="0" t="s">
        <v>1113</v>
      </c>
      <c r="C640" s="0" t="s">
        <v>1096</v>
      </c>
      <c r="E640" s="0" t="s">
        <v>1096</v>
      </c>
      <c r="F640" s="0" t="s">
        <v>614</v>
      </c>
      <c r="H640" s="0" t="n">
        <v>1613</v>
      </c>
      <c r="I640" s="0" t="s">
        <v>1091</v>
      </c>
      <c r="J640" s="0" t="s">
        <v>36</v>
      </c>
      <c r="K640" s="0" t="s">
        <v>36</v>
      </c>
      <c r="P640" s="0" t="s">
        <v>1113</v>
      </c>
      <c r="R640" s="0" t="s">
        <v>1098</v>
      </c>
      <c r="S640" s="0" t="s">
        <v>84</v>
      </c>
      <c r="T640" s="0" t="n">
        <v>2</v>
      </c>
      <c r="U640" s="0" t="s">
        <v>1099</v>
      </c>
      <c r="V640" s="0" t="s">
        <v>63</v>
      </c>
      <c r="Z640" s="0" t="str">
        <f aca="false">HYPERLINK("http://lutemusic.org/composers/Campion/songs/book_1/11_never_weather-beaten_sail/never_weather_beaten_sail_T.ft3")</f>
        <v>http://lutemusic.org/composers/Campion/songs/book_1/11_never_weather-beaten_sail/never_weather_beaten_sail_T.ft3</v>
      </c>
      <c r="AA640" s="0" t="str">
        <f aca="false">HYPERLINK("http://lutemusic.org/composers/Campion/songs/book_1/11_never_weather-beaten_sail/pdf/never_weather_beaten_sail_T.pdf")</f>
        <v>http://lutemusic.org/composers/Campion/songs/book_1/11_never_weather-beaten_sail/pdf/never_weather_beaten_sail_T.pdf</v>
      </c>
      <c r="AB640" s="0" t="str">
        <f aca="false">HYPERLINK("http://lutemusic.org/composers/Campion/songs/book_1/11_never_weather-beaten_sail/midi/never_weather_beaten_sail_T.mid")</f>
        <v>http://lutemusic.org/composers/Campion/songs/book_1/11_never_weather-beaten_sail/midi/never_weather_beaten_sail_T.mid</v>
      </c>
      <c r="AC640" s="0" t="n">
        <v>1573937409</v>
      </c>
      <c r="AD640" s="0" t="n">
        <v>1586042063</v>
      </c>
    </row>
    <row r="641" customFormat="false" ht="12.8" hidden="false" customHeight="false" outlineLevel="0" collapsed="false">
      <c r="A641" s="0" t="s">
        <v>1113</v>
      </c>
      <c r="C641" s="0" t="s">
        <v>1096</v>
      </c>
      <c r="E641" s="0" t="s">
        <v>1096</v>
      </c>
      <c r="F641" s="0" t="s">
        <v>614</v>
      </c>
      <c r="H641" s="0" t="n">
        <v>1613</v>
      </c>
      <c r="I641" s="0" t="s">
        <v>1091</v>
      </c>
      <c r="J641" s="0" t="s">
        <v>36</v>
      </c>
      <c r="K641" s="0" t="s">
        <v>36</v>
      </c>
      <c r="P641" s="0" t="s">
        <v>1113</v>
      </c>
      <c r="R641" s="0" t="s">
        <v>1098</v>
      </c>
      <c r="S641" s="0" t="s">
        <v>84</v>
      </c>
      <c r="T641" s="0" t="n">
        <v>2</v>
      </c>
      <c r="U641" s="0" t="s">
        <v>1099</v>
      </c>
      <c r="V641" s="0" t="s">
        <v>1100</v>
      </c>
      <c r="Z641" s="0" t="str">
        <f aca="false">HYPERLINK("http://lutemusic.org/composers/Campion/songs/book_1/11_never_weather-beaten_sail/never_weather_beaten_sail_VB.ft3")</f>
        <v>http://lutemusic.org/composers/Campion/songs/book_1/11_never_weather-beaten_sail/never_weather_beaten_sail_VB.ft3</v>
      </c>
      <c r="AA641" s="0" t="str">
        <f aca="false">HYPERLINK("http://lutemusic.org/composers/Campion/songs/book_1/11_never_weather-beaten_sail/pdf/never_weather_beaten_sail_VB.pdf")</f>
        <v>http://lutemusic.org/composers/Campion/songs/book_1/11_never_weather-beaten_sail/pdf/never_weather_beaten_sail_VB.pdf</v>
      </c>
      <c r="AB641" s="0" t="str">
        <f aca="false">HYPERLINK("http://lutemusic.org/composers/Campion/songs/book_1/11_never_weather-beaten_sail/midi/never_weather_beaten_sail_VB.mid")</f>
        <v>http://lutemusic.org/composers/Campion/songs/book_1/11_never_weather-beaten_sail/midi/never_weather_beaten_sail_VB.mid</v>
      </c>
      <c r="AC641" s="0" t="n">
        <v>1573937409</v>
      </c>
      <c r="AD641" s="0" t="n">
        <v>1586042063</v>
      </c>
    </row>
    <row r="642" customFormat="false" ht="12.8" hidden="false" customHeight="false" outlineLevel="0" collapsed="false">
      <c r="A642" s="0" t="s">
        <v>1115</v>
      </c>
      <c r="C642" s="0" t="s">
        <v>1096</v>
      </c>
      <c r="E642" s="0" t="s">
        <v>1096</v>
      </c>
      <c r="F642" s="0" t="s">
        <v>614</v>
      </c>
      <c r="H642" s="0" t="n">
        <v>1613</v>
      </c>
      <c r="I642" s="0" t="s">
        <v>460</v>
      </c>
      <c r="J642" s="0" t="s">
        <v>36</v>
      </c>
      <c r="K642" s="0" t="s">
        <v>36</v>
      </c>
      <c r="P642" s="0" t="s">
        <v>1115</v>
      </c>
      <c r="R642" s="0" t="s">
        <v>1098</v>
      </c>
      <c r="S642" s="0" t="s">
        <v>119</v>
      </c>
      <c r="T642" s="0" t="n">
        <v>2</v>
      </c>
      <c r="U642" s="0" t="s">
        <v>1099</v>
      </c>
      <c r="V642" s="0" t="s">
        <v>990</v>
      </c>
      <c r="Z642" s="0" t="str">
        <f aca="false">HYPERLINK("http://lutemusic.org/composers/Campion/songs/book_1/12_lift_up_to_heaven_sad_wretch/lift_up_to_heaven_sad_wretch.ft3")</f>
        <v>http://lutemusic.org/composers/Campion/songs/book_1/12_lift_up_to_heaven_sad_wretch/lift_up_to_heaven_sad_wretch.ft3</v>
      </c>
      <c r="AA642" s="0" t="str">
        <f aca="false">HYPERLINK("http://lutemusic.org/composers/Campion/songs/book_1/12_lift_up_to_heaven_sad_wretch/pdf/lift_up_to_heaven_sad_wretch.pdf")</f>
        <v>http://lutemusic.org/composers/Campion/songs/book_1/12_lift_up_to_heaven_sad_wretch/pdf/lift_up_to_heaven_sad_wretch.pdf</v>
      </c>
      <c r="AB642" s="0" t="str">
        <f aca="false">HYPERLINK("http://lutemusic.org/composers/Campion/songs/book_1/12_lift_up_to_heaven_sad_wretch/midi/lift_up_to_heaven_sad_wretch.mid")</f>
        <v>http://lutemusic.org/composers/Campion/songs/book_1/12_lift_up_to_heaven_sad_wretch/midi/lift_up_to_heaven_sad_wretch.mid</v>
      </c>
      <c r="AC642" s="0" t="n">
        <v>1573937409</v>
      </c>
      <c r="AD642" s="0" t="n">
        <v>1586042063</v>
      </c>
    </row>
    <row r="643" customFormat="false" ht="12.8" hidden="false" customHeight="false" outlineLevel="0" collapsed="false">
      <c r="A643" s="0" t="s">
        <v>1115</v>
      </c>
      <c r="C643" s="0" t="s">
        <v>1096</v>
      </c>
      <c r="E643" s="0" t="s">
        <v>1096</v>
      </c>
      <c r="F643" s="0" t="s">
        <v>614</v>
      </c>
      <c r="H643" s="0" t="n">
        <v>1613</v>
      </c>
      <c r="I643" s="0" t="s">
        <v>460</v>
      </c>
      <c r="J643" s="0" t="s">
        <v>36</v>
      </c>
      <c r="K643" s="0" t="s">
        <v>36</v>
      </c>
      <c r="P643" s="0" t="s">
        <v>1115</v>
      </c>
      <c r="R643" s="0" t="s">
        <v>1098</v>
      </c>
      <c r="S643" s="0" t="s">
        <v>119</v>
      </c>
      <c r="T643" s="0" t="n">
        <v>2</v>
      </c>
      <c r="U643" s="0" t="s">
        <v>1099</v>
      </c>
      <c r="V643" s="0" t="s">
        <v>535</v>
      </c>
      <c r="Z643" s="0" t="str">
        <f aca="false">HYPERLINK("http://lutemusic.org/composers/Campion/songs/book_1/12_lift_up_to_heaven_sad_wretch/lift_up_to_heaven_sad_wretch_4.ft3")</f>
        <v>http://lutemusic.org/composers/Campion/songs/book_1/12_lift_up_to_heaven_sad_wretch/lift_up_to_heaven_sad_wretch_4.ft3</v>
      </c>
      <c r="AA643" s="0" t="str">
        <f aca="false">HYPERLINK("http://lutemusic.org/composers/Campion/songs/book_1/12_lift_up_to_heaven_sad_wretch/pdf/lift_up_to_heaven_sad_wretch_4.pdf")</f>
        <v>http://lutemusic.org/composers/Campion/songs/book_1/12_lift_up_to_heaven_sad_wretch/pdf/lift_up_to_heaven_sad_wretch_4.pdf</v>
      </c>
      <c r="AB643" s="0" t="str">
        <f aca="false">HYPERLINK("http://lutemusic.org/composers/Campion/songs/book_1/12_lift_up_to_heaven_sad_wretch/midi/lift_up_to_heaven_sad_wretch_4.mid")</f>
        <v>http://lutemusic.org/composers/Campion/songs/book_1/12_lift_up_to_heaven_sad_wretch/midi/lift_up_to_heaven_sad_wretch_4.mid</v>
      </c>
      <c r="AC643" s="0" t="n">
        <v>1573937409</v>
      </c>
      <c r="AD643" s="0" t="n">
        <v>1586042063</v>
      </c>
    </row>
    <row r="644" customFormat="false" ht="12.8" hidden="false" customHeight="false" outlineLevel="0" collapsed="false">
      <c r="A644" s="0" t="s">
        <v>1115</v>
      </c>
      <c r="C644" s="0" t="s">
        <v>1096</v>
      </c>
      <c r="E644" s="0" t="s">
        <v>1096</v>
      </c>
      <c r="F644" s="0" t="s">
        <v>614</v>
      </c>
      <c r="H644" s="0" t="n">
        <v>1613</v>
      </c>
      <c r="I644" s="0" t="s">
        <v>460</v>
      </c>
      <c r="J644" s="0" t="s">
        <v>36</v>
      </c>
      <c r="K644" s="0" t="s">
        <v>36</v>
      </c>
      <c r="P644" s="0" t="s">
        <v>1115</v>
      </c>
      <c r="R644" s="0" t="s">
        <v>1098</v>
      </c>
      <c r="S644" s="0" t="s">
        <v>119</v>
      </c>
      <c r="T644" s="0" t="n">
        <v>2</v>
      </c>
      <c r="U644" s="0" t="s">
        <v>1099</v>
      </c>
      <c r="V644" s="0" t="s">
        <v>40</v>
      </c>
      <c r="Z644" s="0" t="str">
        <f aca="false">HYPERLINK("http://lutemusic.org/composers/Campion/songs/book_1/12_lift_up_to_heaven_sad_wretch/lift_up_to_heaven_sad_wretch_S.ft3")</f>
        <v>http://lutemusic.org/composers/Campion/songs/book_1/12_lift_up_to_heaven_sad_wretch/lift_up_to_heaven_sad_wretch_S.ft3</v>
      </c>
      <c r="AA644" s="0" t="str">
        <f aca="false">HYPERLINK("http://lutemusic.org/composers/Campion/songs/book_1/12_lift_up_to_heaven_sad_wretch/pdf/lift_up_to_heaven_sad_wretch_S.pdf")</f>
        <v>http://lutemusic.org/composers/Campion/songs/book_1/12_lift_up_to_heaven_sad_wretch/pdf/lift_up_to_heaven_sad_wretch_S.pdf</v>
      </c>
      <c r="AB644" s="0" t="str">
        <f aca="false">HYPERLINK("http://lutemusic.org/composers/Campion/songs/book_1/12_lift_up_to_heaven_sad_wretch/midi/lift_up_to_heaven_sad_wretch_S.mid")</f>
        <v>http://lutemusic.org/composers/Campion/songs/book_1/12_lift_up_to_heaven_sad_wretch/midi/lift_up_to_heaven_sad_wretch_S.mid</v>
      </c>
      <c r="AC644" s="0" t="n">
        <v>1573937409</v>
      </c>
      <c r="AD644" s="0" t="n">
        <v>1586042063</v>
      </c>
    </row>
    <row r="645" customFormat="false" ht="12.8" hidden="false" customHeight="false" outlineLevel="0" collapsed="false">
      <c r="A645" s="0" t="s">
        <v>1115</v>
      </c>
      <c r="C645" s="0" t="s">
        <v>1096</v>
      </c>
      <c r="E645" s="0" t="s">
        <v>1096</v>
      </c>
      <c r="F645" s="0" t="s">
        <v>614</v>
      </c>
      <c r="H645" s="0" t="n">
        <v>1613</v>
      </c>
      <c r="I645" s="0" t="s">
        <v>460</v>
      </c>
      <c r="J645" s="0" t="s">
        <v>36</v>
      </c>
      <c r="K645" s="0" t="s">
        <v>36</v>
      </c>
      <c r="P645" s="0" t="s">
        <v>1115</v>
      </c>
      <c r="R645" s="0" t="s">
        <v>1098</v>
      </c>
      <c r="S645" s="0" t="s">
        <v>119</v>
      </c>
      <c r="T645" s="0" t="n">
        <v>2</v>
      </c>
      <c r="U645" s="0" t="s">
        <v>1099</v>
      </c>
      <c r="V645" s="0" t="s">
        <v>63</v>
      </c>
      <c r="Z645" s="0" t="str">
        <f aca="false">HYPERLINK("http://lutemusic.org/composers/Campion/songs/book_1/12_lift_up_to_heaven_sad_wretch/lift_up_to_heaven_sad_wretch_T.ft3")</f>
        <v>http://lutemusic.org/composers/Campion/songs/book_1/12_lift_up_to_heaven_sad_wretch/lift_up_to_heaven_sad_wretch_T.ft3</v>
      </c>
      <c r="AA645" s="0" t="str">
        <f aca="false">HYPERLINK("http://lutemusic.org/composers/Campion/songs/book_1/12_lift_up_to_heaven_sad_wretch/pdf/lift_up_to_heaven_sad_wretch_T.pdf")</f>
        <v>http://lutemusic.org/composers/Campion/songs/book_1/12_lift_up_to_heaven_sad_wretch/pdf/lift_up_to_heaven_sad_wretch_T.pdf</v>
      </c>
      <c r="AB645" s="0" t="str">
        <f aca="false">HYPERLINK("http://lutemusic.org/composers/Campion/songs/book_1/12_lift_up_to_heaven_sad_wretch/midi/lift_up_to_heaven_sad_wretch_T.mid")</f>
        <v>http://lutemusic.org/composers/Campion/songs/book_1/12_lift_up_to_heaven_sad_wretch/midi/lift_up_to_heaven_sad_wretch_T.mid</v>
      </c>
      <c r="AC645" s="0" t="n">
        <v>1573937409</v>
      </c>
      <c r="AD645" s="0" t="n">
        <v>1586042063</v>
      </c>
    </row>
    <row r="646" customFormat="false" ht="12.8" hidden="false" customHeight="false" outlineLevel="0" collapsed="false">
      <c r="A646" s="0" t="s">
        <v>1115</v>
      </c>
      <c r="C646" s="0" t="s">
        <v>1096</v>
      </c>
      <c r="E646" s="0" t="s">
        <v>1096</v>
      </c>
      <c r="F646" s="0" t="s">
        <v>614</v>
      </c>
      <c r="H646" s="0" t="n">
        <v>1613</v>
      </c>
      <c r="I646" s="0" t="s">
        <v>460</v>
      </c>
      <c r="J646" s="0" t="s">
        <v>36</v>
      </c>
      <c r="K646" s="0" t="s">
        <v>36</v>
      </c>
      <c r="P646" s="0" t="s">
        <v>1115</v>
      </c>
      <c r="R646" s="0" t="s">
        <v>1098</v>
      </c>
      <c r="S646" s="0" t="s">
        <v>119</v>
      </c>
      <c r="T646" s="0" t="n">
        <v>2</v>
      </c>
      <c r="U646" s="0" t="s">
        <v>1099</v>
      </c>
      <c r="V646" s="0" t="s">
        <v>1100</v>
      </c>
      <c r="Z646" s="0" t="str">
        <f aca="false">HYPERLINK("http://lutemusic.org/composers/Campion/songs/book_1/12_lift_up_to_heaven_sad_wretch/lift_up_to_heaven_sad_wretch_VB.ft3")</f>
        <v>http://lutemusic.org/composers/Campion/songs/book_1/12_lift_up_to_heaven_sad_wretch/lift_up_to_heaven_sad_wretch_VB.ft3</v>
      </c>
      <c r="AA646" s="0" t="str">
        <f aca="false">HYPERLINK("http://lutemusic.org/composers/Campion/songs/book_1/12_lift_up_to_heaven_sad_wretch/pdf/lift_up_to_heaven_sad_wretch_VB.pdf")</f>
        <v>http://lutemusic.org/composers/Campion/songs/book_1/12_lift_up_to_heaven_sad_wretch/pdf/lift_up_to_heaven_sad_wretch_VB.pdf</v>
      </c>
      <c r="AB646" s="0" t="str">
        <f aca="false">HYPERLINK("http://lutemusic.org/composers/Campion/songs/book_1/12_lift_up_to_heaven_sad_wretch/midi/lift_up_to_heaven_sad_wretch_VB.mid")</f>
        <v>http://lutemusic.org/composers/Campion/songs/book_1/12_lift_up_to_heaven_sad_wretch/midi/lift_up_to_heaven_sad_wretch_VB.mid</v>
      </c>
      <c r="AC646" s="0" t="n">
        <v>1573937409</v>
      </c>
      <c r="AD646" s="0" t="n">
        <v>1586042063</v>
      </c>
    </row>
    <row r="647" customFormat="false" ht="12.8" hidden="false" customHeight="false" outlineLevel="0" collapsed="false">
      <c r="A647" s="0" t="s">
        <v>1116</v>
      </c>
      <c r="C647" s="0" t="s">
        <v>1096</v>
      </c>
      <c r="E647" s="0" t="s">
        <v>1096</v>
      </c>
      <c r="F647" s="0" t="s">
        <v>614</v>
      </c>
      <c r="H647" s="0" t="n">
        <v>1613</v>
      </c>
      <c r="I647" s="0" t="s">
        <v>884</v>
      </c>
      <c r="J647" s="0" t="s">
        <v>36</v>
      </c>
      <c r="K647" s="0" t="s">
        <v>36</v>
      </c>
      <c r="P647" s="0" t="s">
        <v>1116</v>
      </c>
      <c r="R647" s="0" t="s">
        <v>1098</v>
      </c>
      <c r="S647" s="0" t="s">
        <v>49</v>
      </c>
      <c r="T647" s="0" t="n">
        <v>2</v>
      </c>
      <c r="U647" s="0" t="s">
        <v>1117</v>
      </c>
      <c r="V647" s="0" t="s">
        <v>455</v>
      </c>
      <c r="Z647" s="0" t="str">
        <f aca="false">HYPERLINK("http://lutemusic.org/composers/Campion/songs/book_1/13_lo_when_back_mine_eyes/lo_when_back_mine_eyes.ft3")</f>
        <v>http://lutemusic.org/composers/Campion/songs/book_1/13_lo_when_back_mine_eyes/lo_when_back_mine_eyes.ft3</v>
      </c>
      <c r="AA647" s="0" t="str">
        <f aca="false">HYPERLINK("http://lutemusic.org/composers/Campion/songs/book_1/13_lo_when_back_mine_eyes/pdf/lo_when_back_mine_eyes.pdf")</f>
        <v>http://lutemusic.org/composers/Campion/songs/book_1/13_lo_when_back_mine_eyes/pdf/lo_when_back_mine_eyes.pdf</v>
      </c>
      <c r="AB647" s="0" t="str">
        <f aca="false">HYPERLINK("http://lutemusic.org/composers/Campion/songs/book_1/13_lo_when_back_mine_eyes/midi/lo_when_back_mine_eyes.mid")</f>
        <v>http://lutemusic.org/composers/Campion/songs/book_1/13_lo_when_back_mine_eyes/midi/lo_when_back_mine_eyes.mid</v>
      </c>
      <c r="AC647" s="0" t="n">
        <v>1573937409</v>
      </c>
      <c r="AD647" s="0" t="n">
        <v>1586042063</v>
      </c>
    </row>
    <row r="648" customFormat="false" ht="12.8" hidden="false" customHeight="false" outlineLevel="0" collapsed="false">
      <c r="A648" s="0" t="s">
        <v>1116</v>
      </c>
      <c r="C648" s="0" t="s">
        <v>1096</v>
      </c>
      <c r="E648" s="0" t="s">
        <v>1096</v>
      </c>
      <c r="F648" s="0" t="s">
        <v>614</v>
      </c>
      <c r="H648" s="0" t="n">
        <v>1613</v>
      </c>
      <c r="I648" s="0" t="s">
        <v>884</v>
      </c>
      <c r="J648" s="0" t="s">
        <v>36</v>
      </c>
      <c r="K648" s="0" t="s">
        <v>36</v>
      </c>
      <c r="P648" s="0" t="s">
        <v>1116</v>
      </c>
      <c r="R648" s="0" t="s">
        <v>1098</v>
      </c>
      <c r="S648" s="0" t="s">
        <v>49</v>
      </c>
      <c r="T648" s="0" t="n">
        <v>2</v>
      </c>
      <c r="U648" s="0" t="s">
        <v>1117</v>
      </c>
      <c r="V648" s="0" t="s">
        <v>535</v>
      </c>
      <c r="Z648" s="0" t="str">
        <f aca="false">HYPERLINK("http://lutemusic.org/composers/Campion/songs/book_1/13_lo_when_back_mine_eyes/lo_when_back_mine_eyes_4.ft3")</f>
        <v>http://lutemusic.org/composers/Campion/songs/book_1/13_lo_when_back_mine_eyes/lo_when_back_mine_eyes_4.ft3</v>
      </c>
      <c r="AA648" s="0" t="str">
        <f aca="false">HYPERLINK("http://lutemusic.org/composers/Campion/songs/book_1/13_lo_when_back_mine_eyes/pdf/lo_when_back_mine_eyes_4.pdf")</f>
        <v>http://lutemusic.org/composers/Campion/songs/book_1/13_lo_when_back_mine_eyes/pdf/lo_when_back_mine_eyes_4.pdf</v>
      </c>
      <c r="AB648" s="0" t="str">
        <f aca="false">HYPERLINK("http://lutemusic.org/composers/Campion/songs/book_1/13_lo_when_back_mine_eyes/midi/lo_when_back_mine_eyes_4.mid")</f>
        <v>http://lutemusic.org/composers/Campion/songs/book_1/13_lo_when_back_mine_eyes/midi/lo_when_back_mine_eyes_4.mid</v>
      </c>
      <c r="AC648" s="0" t="n">
        <v>1573937409</v>
      </c>
      <c r="AD648" s="0" t="n">
        <v>1586042063</v>
      </c>
    </row>
    <row r="649" customFormat="false" ht="12.8" hidden="false" customHeight="false" outlineLevel="0" collapsed="false">
      <c r="A649" s="0" t="s">
        <v>1116</v>
      </c>
      <c r="C649" s="0" t="s">
        <v>1096</v>
      </c>
      <c r="E649" s="0" t="s">
        <v>1096</v>
      </c>
      <c r="F649" s="0" t="s">
        <v>614</v>
      </c>
      <c r="H649" s="0" t="n">
        <v>1613</v>
      </c>
      <c r="I649" s="0" t="s">
        <v>884</v>
      </c>
      <c r="J649" s="0" t="s">
        <v>36</v>
      </c>
      <c r="K649" s="0" t="s">
        <v>36</v>
      </c>
      <c r="P649" s="0" t="s">
        <v>1116</v>
      </c>
      <c r="R649" s="0" t="s">
        <v>1098</v>
      </c>
      <c r="S649" s="0" t="s">
        <v>49</v>
      </c>
      <c r="T649" s="0" t="n">
        <v>2</v>
      </c>
      <c r="U649" s="0" t="s">
        <v>1099</v>
      </c>
      <c r="V649" s="0" t="s">
        <v>40</v>
      </c>
      <c r="Z649" s="0" t="str">
        <f aca="false">HYPERLINK("http://lutemusic.org/composers/Campion/songs/book_1/13_lo_when_back_mine_eyes/lo_when_back_mine_eyes_S.ft3")</f>
        <v>http://lutemusic.org/composers/Campion/songs/book_1/13_lo_when_back_mine_eyes/lo_when_back_mine_eyes_S.ft3</v>
      </c>
      <c r="AA649" s="0" t="str">
        <f aca="false">HYPERLINK("http://lutemusic.org/composers/Campion/songs/book_1/13_lo_when_back_mine_eyes/pdf/lo_when_back_mine_eyes_S.pdf")</f>
        <v>http://lutemusic.org/composers/Campion/songs/book_1/13_lo_when_back_mine_eyes/pdf/lo_when_back_mine_eyes_S.pdf</v>
      </c>
      <c r="AB649" s="0" t="str">
        <f aca="false">HYPERLINK("http://lutemusic.org/composers/Campion/songs/book_1/13_lo_when_back_mine_eyes/midi/lo_when_back_mine_eyes_S.mid")</f>
        <v>http://lutemusic.org/composers/Campion/songs/book_1/13_lo_when_back_mine_eyes/midi/lo_when_back_mine_eyes_S.mid</v>
      </c>
      <c r="AC649" s="0" t="n">
        <v>1573937409</v>
      </c>
      <c r="AD649" s="0" t="n">
        <v>1586042063</v>
      </c>
    </row>
    <row r="650" customFormat="false" ht="12.8" hidden="false" customHeight="false" outlineLevel="0" collapsed="false">
      <c r="A650" s="0" t="s">
        <v>1116</v>
      </c>
      <c r="C650" s="0" t="s">
        <v>1096</v>
      </c>
      <c r="E650" s="0" t="s">
        <v>1096</v>
      </c>
      <c r="F650" s="0" t="s">
        <v>614</v>
      </c>
      <c r="H650" s="0" t="n">
        <v>1613</v>
      </c>
      <c r="I650" s="0" t="s">
        <v>884</v>
      </c>
      <c r="J650" s="0" t="s">
        <v>36</v>
      </c>
      <c r="K650" s="0" t="s">
        <v>36</v>
      </c>
      <c r="P650" s="0" t="s">
        <v>1116</v>
      </c>
      <c r="R650" s="0" t="s">
        <v>1098</v>
      </c>
      <c r="S650" s="0" t="s">
        <v>49</v>
      </c>
      <c r="T650" s="0" t="n">
        <v>2</v>
      </c>
      <c r="U650" s="0" t="s">
        <v>1117</v>
      </c>
      <c r="V650" s="0" t="s">
        <v>53</v>
      </c>
      <c r="Z650" s="0" t="str">
        <f aca="false">HYPERLINK("http://lutemusic.org/composers/Campion/songs/book_1/13_lo_when_back_mine_eyes/lo_when_back_mine_eyes_T.ft3")</f>
        <v>http://lutemusic.org/composers/Campion/songs/book_1/13_lo_when_back_mine_eyes/lo_when_back_mine_eyes_T.ft3</v>
      </c>
      <c r="AA650" s="0" t="str">
        <f aca="false">HYPERLINK("http://lutemusic.org/composers/Campion/songs/book_1/13_lo_when_back_mine_eyes/pdf/lo_when_back_mine_eyes_T.pdf")</f>
        <v>http://lutemusic.org/composers/Campion/songs/book_1/13_lo_when_back_mine_eyes/pdf/lo_when_back_mine_eyes_T.pdf</v>
      </c>
      <c r="AB650" s="0" t="str">
        <f aca="false">HYPERLINK("http://lutemusic.org/composers/Campion/songs/book_1/13_lo_when_back_mine_eyes/midi/lo_when_back_mine_eyes_T.mid")</f>
        <v>http://lutemusic.org/composers/Campion/songs/book_1/13_lo_when_back_mine_eyes/midi/lo_when_back_mine_eyes_T.mid</v>
      </c>
      <c r="AC650" s="0" t="n">
        <v>1573937409</v>
      </c>
      <c r="AD650" s="0" t="n">
        <v>1586042063</v>
      </c>
    </row>
    <row r="651" customFormat="false" ht="12.8" hidden="false" customHeight="false" outlineLevel="0" collapsed="false">
      <c r="A651" s="0" t="s">
        <v>1116</v>
      </c>
      <c r="C651" s="0" t="s">
        <v>1096</v>
      </c>
      <c r="E651" s="0" t="s">
        <v>1096</v>
      </c>
      <c r="F651" s="0" t="s">
        <v>614</v>
      </c>
      <c r="H651" s="0" t="n">
        <v>1613</v>
      </c>
      <c r="I651" s="0" t="s">
        <v>884</v>
      </c>
      <c r="J651" s="0" t="s">
        <v>36</v>
      </c>
      <c r="K651" s="0" t="s">
        <v>36</v>
      </c>
      <c r="P651" s="0" t="s">
        <v>1116</v>
      </c>
      <c r="R651" s="0" t="s">
        <v>1098</v>
      </c>
      <c r="S651" s="0" t="s">
        <v>49</v>
      </c>
      <c r="T651" s="0" t="n">
        <v>2</v>
      </c>
      <c r="U651" s="0" t="s">
        <v>1117</v>
      </c>
      <c r="V651" s="0" t="s">
        <v>1100</v>
      </c>
      <c r="Z651" s="0" t="str">
        <f aca="false">HYPERLINK("http://lutemusic.org/composers/Campion/songs/book_1/13_lo_when_back_mine_eyes/lo_when_back_mine_eyes_VB.ft3")</f>
        <v>http://lutemusic.org/composers/Campion/songs/book_1/13_lo_when_back_mine_eyes/lo_when_back_mine_eyes_VB.ft3</v>
      </c>
      <c r="AA651" s="0" t="str">
        <f aca="false">HYPERLINK("http://lutemusic.org/composers/Campion/songs/book_1/13_lo_when_back_mine_eyes/pdf/lo_when_back_mine_eyes_VB.pdf")</f>
        <v>http://lutemusic.org/composers/Campion/songs/book_1/13_lo_when_back_mine_eyes/pdf/lo_when_back_mine_eyes_VB.pdf</v>
      </c>
      <c r="AB651" s="0" t="str">
        <f aca="false">HYPERLINK("http://lutemusic.org/composers/Campion/songs/book_1/13_lo_when_back_mine_eyes/midi/lo_when_back_mine_eyes_VB.mid")</f>
        <v>http://lutemusic.org/composers/Campion/songs/book_1/13_lo_when_back_mine_eyes/midi/lo_when_back_mine_eyes_VB.mid</v>
      </c>
      <c r="AC651" s="0" t="n">
        <v>1573937409</v>
      </c>
      <c r="AD651" s="0" t="n">
        <v>1586042063</v>
      </c>
    </row>
    <row r="652" customFormat="false" ht="12.8" hidden="false" customHeight="false" outlineLevel="0" collapsed="false">
      <c r="A652" s="0" t="s">
        <v>1118</v>
      </c>
      <c r="C652" s="0" t="s">
        <v>1096</v>
      </c>
      <c r="E652" s="0" t="s">
        <v>1096</v>
      </c>
      <c r="F652" s="0" t="s">
        <v>614</v>
      </c>
      <c r="H652" s="0" t="n">
        <v>1613</v>
      </c>
      <c r="I652" s="0" t="s">
        <v>1119</v>
      </c>
      <c r="J652" s="0" t="s">
        <v>36</v>
      </c>
      <c r="K652" s="0" t="s">
        <v>36</v>
      </c>
      <c r="P652" s="0" t="s">
        <v>1118</v>
      </c>
      <c r="R652" s="0" t="s">
        <v>1098</v>
      </c>
      <c r="S652" s="0" t="s">
        <v>119</v>
      </c>
      <c r="T652" s="0" t="n">
        <v>2</v>
      </c>
      <c r="U652" s="0" t="s">
        <v>1099</v>
      </c>
      <c r="V652" s="0" t="s">
        <v>990</v>
      </c>
      <c r="Z652" s="0" t="str">
        <f aca="false">HYPERLINK("http://lutemusic.org/composers/Campion/songs/book_1/14_as_by_the_streams_of_babylon/14_as_by_the_streams_of_babylon.ft3")</f>
        <v>http://lutemusic.org/composers/Campion/songs/book_1/14_as_by_the_streams_of_babylon/14_as_by_the_streams_of_babylon.ft3</v>
      </c>
      <c r="AA652" s="0" t="str">
        <f aca="false">HYPERLINK("http://lutemusic.org/composers/Campion/songs/book_1/14_as_by_the_streams_of_babylon/pdf/14_as_by_the_streams_of_babylon.pdf")</f>
        <v>http://lutemusic.org/composers/Campion/songs/book_1/14_as_by_the_streams_of_babylon/pdf/14_as_by_the_streams_of_babylon.pdf</v>
      </c>
      <c r="AB652" s="0" t="str">
        <f aca="false">HYPERLINK("http://lutemusic.org/composers/Campion/songs/book_1/14_as_by_the_streams_of_babylon/midi/14_as_by_the_streams_of_babylon.mid")</f>
        <v>http://lutemusic.org/composers/Campion/songs/book_1/14_as_by_the_streams_of_babylon/midi/14_as_by_the_streams_of_babylon.mid</v>
      </c>
      <c r="AC652" s="0" t="n">
        <v>1573937409</v>
      </c>
      <c r="AD652" s="0" t="n">
        <v>1586042063</v>
      </c>
    </row>
    <row r="653" customFormat="false" ht="12.8" hidden="false" customHeight="false" outlineLevel="0" collapsed="false">
      <c r="A653" s="0" t="s">
        <v>1118</v>
      </c>
      <c r="C653" s="0" t="s">
        <v>1096</v>
      </c>
      <c r="E653" s="0" t="s">
        <v>1096</v>
      </c>
      <c r="F653" s="0" t="s">
        <v>614</v>
      </c>
      <c r="H653" s="0" t="n">
        <v>1613</v>
      </c>
      <c r="I653" s="0" t="s">
        <v>1119</v>
      </c>
      <c r="J653" s="0" t="s">
        <v>36</v>
      </c>
      <c r="K653" s="0" t="s">
        <v>36</v>
      </c>
      <c r="P653" s="0" t="s">
        <v>1118</v>
      </c>
      <c r="R653" s="0" t="s">
        <v>1098</v>
      </c>
      <c r="S653" s="0" t="s">
        <v>119</v>
      </c>
      <c r="T653" s="0" t="n">
        <v>2</v>
      </c>
      <c r="U653" s="0" t="s">
        <v>1099</v>
      </c>
      <c r="V653" s="0" t="s">
        <v>535</v>
      </c>
      <c r="Z653" s="0" t="str">
        <f aca="false">HYPERLINK("http://lutemusic.org/composers/Campion/songs/book_1/14_as_by_the_streams_of_babylon/14_as_by_the_streams_of_babylon_4.ft3")</f>
        <v>http://lutemusic.org/composers/Campion/songs/book_1/14_as_by_the_streams_of_babylon/14_as_by_the_streams_of_babylon_4.ft3</v>
      </c>
      <c r="AA653" s="0" t="str">
        <f aca="false">HYPERLINK("http://lutemusic.org/composers/Campion/songs/book_1/14_as_by_the_streams_of_babylon/pdf/14_as_by_the_streams_of_babylon_4.pdf")</f>
        <v>http://lutemusic.org/composers/Campion/songs/book_1/14_as_by_the_streams_of_babylon/pdf/14_as_by_the_streams_of_babylon_4.pdf</v>
      </c>
      <c r="AB653" s="0" t="str">
        <f aca="false">HYPERLINK("http://lutemusic.org/composers/Campion/songs/book_1/14_as_by_the_streams_of_babylon/midi/14_as_by_the_streams_of_babylon_4.mid")</f>
        <v>http://lutemusic.org/composers/Campion/songs/book_1/14_as_by_the_streams_of_babylon/midi/14_as_by_the_streams_of_babylon_4.mid</v>
      </c>
      <c r="AC653" s="0" t="n">
        <v>1573937409</v>
      </c>
      <c r="AD653" s="0" t="n">
        <v>1586042063</v>
      </c>
    </row>
    <row r="654" customFormat="false" ht="12.8" hidden="false" customHeight="false" outlineLevel="0" collapsed="false">
      <c r="A654" s="0" t="s">
        <v>1118</v>
      </c>
      <c r="C654" s="0" t="s">
        <v>1096</v>
      </c>
      <c r="E654" s="0" t="s">
        <v>1096</v>
      </c>
      <c r="F654" s="0" t="s">
        <v>614</v>
      </c>
      <c r="H654" s="0" t="n">
        <v>1613</v>
      </c>
      <c r="I654" s="0" t="s">
        <v>1119</v>
      </c>
      <c r="J654" s="0" t="s">
        <v>36</v>
      </c>
      <c r="K654" s="0" t="s">
        <v>36</v>
      </c>
      <c r="P654" s="0" t="s">
        <v>1118</v>
      </c>
      <c r="R654" s="0" t="s">
        <v>1098</v>
      </c>
      <c r="S654" s="0" t="s">
        <v>119</v>
      </c>
      <c r="T654" s="0" t="n">
        <v>2</v>
      </c>
      <c r="U654" s="0" t="s">
        <v>1099</v>
      </c>
      <c r="V654" s="0" t="s">
        <v>40</v>
      </c>
      <c r="Z654" s="0" t="str">
        <f aca="false">HYPERLINK("http://lutemusic.org/composers/Campion/songs/book_1/14_as_by_the_streams_of_babylon/14_as_by_the_streams_of_babylon_S.ft3")</f>
        <v>http://lutemusic.org/composers/Campion/songs/book_1/14_as_by_the_streams_of_babylon/14_as_by_the_streams_of_babylon_S.ft3</v>
      </c>
      <c r="AA654" s="0" t="str">
        <f aca="false">HYPERLINK("http://lutemusic.org/composers/Campion/songs/book_1/14_as_by_the_streams_of_babylon/pdf/14_as_by_the_streams_of_babylon_S.pdf")</f>
        <v>http://lutemusic.org/composers/Campion/songs/book_1/14_as_by_the_streams_of_babylon/pdf/14_as_by_the_streams_of_babylon_S.pdf</v>
      </c>
      <c r="AB654" s="0" t="str">
        <f aca="false">HYPERLINK("http://lutemusic.org/composers/Campion/songs/book_1/14_as_by_the_streams_of_babylon/midi/14_as_by_the_streams_of_babylon_S.mid")</f>
        <v>http://lutemusic.org/composers/Campion/songs/book_1/14_as_by_the_streams_of_babylon/midi/14_as_by_the_streams_of_babylon_S.mid</v>
      </c>
      <c r="AC654" s="0" t="n">
        <v>1573937409</v>
      </c>
      <c r="AD654" s="0" t="n">
        <v>1586042063</v>
      </c>
    </row>
    <row r="655" customFormat="false" ht="12.8" hidden="false" customHeight="false" outlineLevel="0" collapsed="false">
      <c r="A655" s="0" t="s">
        <v>1118</v>
      </c>
      <c r="C655" s="0" t="s">
        <v>1096</v>
      </c>
      <c r="E655" s="0" t="s">
        <v>1096</v>
      </c>
      <c r="F655" s="0" t="s">
        <v>614</v>
      </c>
      <c r="H655" s="0" t="n">
        <v>1613</v>
      </c>
      <c r="I655" s="0" t="s">
        <v>1119</v>
      </c>
      <c r="J655" s="0" t="s">
        <v>36</v>
      </c>
      <c r="K655" s="0" t="s">
        <v>36</v>
      </c>
      <c r="P655" s="0" t="s">
        <v>1118</v>
      </c>
      <c r="R655" s="0" t="s">
        <v>1098</v>
      </c>
      <c r="S655" s="0" t="s">
        <v>119</v>
      </c>
      <c r="T655" s="0" t="n">
        <v>2</v>
      </c>
      <c r="U655" s="0" t="s">
        <v>1099</v>
      </c>
      <c r="V655" s="0" t="s">
        <v>63</v>
      </c>
      <c r="Z655" s="0" t="str">
        <f aca="false">HYPERLINK("http://lutemusic.org/composers/Campion/songs/book_1/14_as_by_the_streams_of_babylon/14_as_by_the_streams_of_babylon_T.ft3")</f>
        <v>http://lutemusic.org/composers/Campion/songs/book_1/14_as_by_the_streams_of_babylon/14_as_by_the_streams_of_babylon_T.ft3</v>
      </c>
      <c r="AA655" s="0" t="str">
        <f aca="false">HYPERLINK("http://lutemusic.org/composers/Campion/songs/book_1/14_as_by_the_streams_of_babylon/pdf/14_as_by_the_streams_of_babylon_T.pdf")</f>
        <v>http://lutemusic.org/composers/Campion/songs/book_1/14_as_by_the_streams_of_babylon/pdf/14_as_by_the_streams_of_babylon_T.pdf</v>
      </c>
      <c r="AB655" s="0" t="str">
        <f aca="false">HYPERLINK("http://lutemusic.org/composers/Campion/songs/book_1/14_as_by_the_streams_of_babylon/midi/14_as_by_the_streams_of_babylon_T.mid")</f>
        <v>http://lutemusic.org/composers/Campion/songs/book_1/14_as_by_the_streams_of_babylon/midi/14_as_by_the_streams_of_babylon_T.mid</v>
      </c>
      <c r="AC655" s="0" t="n">
        <v>1573937409</v>
      </c>
      <c r="AD655" s="0" t="n">
        <v>1586042063</v>
      </c>
    </row>
    <row r="656" customFormat="false" ht="12.8" hidden="false" customHeight="false" outlineLevel="0" collapsed="false">
      <c r="A656" s="0" t="s">
        <v>1118</v>
      </c>
      <c r="C656" s="0" t="s">
        <v>1096</v>
      </c>
      <c r="E656" s="0" t="s">
        <v>1096</v>
      </c>
      <c r="F656" s="0" t="s">
        <v>614</v>
      </c>
      <c r="H656" s="0" t="n">
        <v>1613</v>
      </c>
      <c r="I656" s="0" t="s">
        <v>1119</v>
      </c>
      <c r="J656" s="0" t="s">
        <v>36</v>
      </c>
      <c r="K656" s="0" t="s">
        <v>36</v>
      </c>
      <c r="P656" s="0" t="s">
        <v>1118</v>
      </c>
      <c r="R656" s="0" t="s">
        <v>1098</v>
      </c>
      <c r="S656" s="0" t="s">
        <v>119</v>
      </c>
      <c r="T656" s="0" t="n">
        <v>2</v>
      </c>
      <c r="U656" s="0" t="s">
        <v>1099</v>
      </c>
      <c r="V656" s="0" t="s">
        <v>1100</v>
      </c>
      <c r="Z656" s="0" t="str">
        <f aca="false">HYPERLINK("http://lutemusic.org/composers/Campion/songs/book_1/14_as_by_the_streams_of_babylon/14_as_by_the_streams_of_babylon_VB.ft3")</f>
        <v>http://lutemusic.org/composers/Campion/songs/book_1/14_as_by_the_streams_of_babylon/14_as_by_the_streams_of_babylon_VB.ft3</v>
      </c>
      <c r="AA656" s="0" t="str">
        <f aca="false">HYPERLINK("http://lutemusic.org/composers/Campion/songs/book_1/14_as_by_the_streams_of_babylon/pdf/14_as_by_the_streams_of_babylon_VB.pdf")</f>
        <v>http://lutemusic.org/composers/Campion/songs/book_1/14_as_by_the_streams_of_babylon/pdf/14_as_by_the_streams_of_babylon_VB.pdf</v>
      </c>
      <c r="AB656" s="0" t="str">
        <f aca="false">HYPERLINK("http://lutemusic.org/composers/Campion/songs/book_1/14_as_by_the_streams_of_babylon/midi/14_as_by_the_streams_of_babylon_VB.mid")</f>
        <v>http://lutemusic.org/composers/Campion/songs/book_1/14_as_by_the_streams_of_babylon/midi/14_as_by_the_streams_of_babylon_VB.mid</v>
      </c>
      <c r="AC656" s="0" t="n">
        <v>1573937409</v>
      </c>
      <c r="AD656" s="0" t="n">
        <v>1586042063</v>
      </c>
    </row>
    <row r="657" customFormat="false" ht="12.8" hidden="false" customHeight="false" outlineLevel="0" collapsed="false">
      <c r="A657" s="0" t="s">
        <v>1120</v>
      </c>
      <c r="C657" s="0" t="s">
        <v>1096</v>
      </c>
      <c r="E657" s="0" t="s">
        <v>1096</v>
      </c>
      <c r="F657" s="0" t="s">
        <v>614</v>
      </c>
      <c r="H657" s="0" t="n">
        <v>1613</v>
      </c>
      <c r="I657" s="0" t="s">
        <v>1063</v>
      </c>
      <c r="J657" s="0" t="s">
        <v>36</v>
      </c>
      <c r="K657" s="0" t="s">
        <v>36</v>
      </c>
      <c r="P657" s="0" t="s">
        <v>1120</v>
      </c>
      <c r="R657" s="0" t="s">
        <v>1098</v>
      </c>
      <c r="S657" s="0" t="s">
        <v>84</v>
      </c>
      <c r="T657" s="0" t="n">
        <v>2</v>
      </c>
      <c r="U657" s="0" t="s">
        <v>1099</v>
      </c>
      <c r="V657" s="0" t="s">
        <v>990</v>
      </c>
      <c r="Z657" s="0" t="str">
        <f aca="false">HYPERLINK("http://lutemusic.org/composers/Campion/songs/book_1/15_sing_a_song_of_joy/sing_a_song_of_joy.ft3")</f>
        <v>http://lutemusic.org/composers/Campion/songs/book_1/15_sing_a_song_of_joy/sing_a_song_of_joy.ft3</v>
      </c>
      <c r="AA657" s="0" t="str">
        <f aca="false">HYPERLINK("http://lutemusic.org/composers/Campion/songs/book_1/15_sing_a_song_of_joy/pdf/sing_a_song_of_joy.pdf")</f>
        <v>http://lutemusic.org/composers/Campion/songs/book_1/15_sing_a_song_of_joy/pdf/sing_a_song_of_joy.pdf</v>
      </c>
      <c r="AB657" s="0" t="str">
        <f aca="false">HYPERLINK("http://lutemusic.org/composers/Campion/songs/book_1/15_sing_a_song_of_joy/midi/sing_a_song_of_joy.mid")</f>
        <v>http://lutemusic.org/composers/Campion/songs/book_1/15_sing_a_song_of_joy/midi/sing_a_song_of_joy.mid</v>
      </c>
      <c r="AC657" s="0" t="n">
        <v>1573937409</v>
      </c>
      <c r="AD657" s="0" t="n">
        <v>1586042063</v>
      </c>
    </row>
    <row r="658" customFormat="false" ht="12.8" hidden="false" customHeight="false" outlineLevel="0" collapsed="false">
      <c r="A658" s="0" t="s">
        <v>1120</v>
      </c>
      <c r="C658" s="0" t="s">
        <v>1096</v>
      </c>
      <c r="E658" s="0" t="s">
        <v>1096</v>
      </c>
      <c r="F658" s="0" t="s">
        <v>614</v>
      </c>
      <c r="H658" s="0" t="n">
        <v>1613</v>
      </c>
      <c r="I658" s="0" t="s">
        <v>1063</v>
      </c>
      <c r="J658" s="0" t="s">
        <v>36</v>
      </c>
      <c r="K658" s="0" t="s">
        <v>36</v>
      </c>
      <c r="P658" s="0" t="s">
        <v>1120</v>
      </c>
      <c r="R658" s="0" t="s">
        <v>1098</v>
      </c>
      <c r="S658" s="0" t="s">
        <v>84</v>
      </c>
      <c r="T658" s="0" t="n">
        <v>2</v>
      </c>
      <c r="U658" s="0" t="s">
        <v>1099</v>
      </c>
      <c r="V658" s="0" t="s">
        <v>535</v>
      </c>
      <c r="Z658" s="0" t="str">
        <f aca="false">HYPERLINK("http://lutemusic.org/composers/Campion/songs/book_1/15_sing_a_song_of_joy/sing_a_song_of_joy_4.ft3")</f>
        <v>http://lutemusic.org/composers/Campion/songs/book_1/15_sing_a_song_of_joy/sing_a_song_of_joy_4.ft3</v>
      </c>
      <c r="AA658" s="0" t="str">
        <f aca="false">HYPERLINK("http://lutemusic.org/composers/Campion/songs/book_1/15_sing_a_song_of_joy/pdf/sing_a_song_of_joy_4.pdf")</f>
        <v>http://lutemusic.org/composers/Campion/songs/book_1/15_sing_a_song_of_joy/pdf/sing_a_song_of_joy_4.pdf</v>
      </c>
      <c r="AB658" s="0" t="str">
        <f aca="false">HYPERLINK("http://lutemusic.org/composers/Campion/songs/book_1/15_sing_a_song_of_joy/midi/sing_a_song_of_joy_4.mid")</f>
        <v>http://lutemusic.org/composers/Campion/songs/book_1/15_sing_a_song_of_joy/midi/sing_a_song_of_joy_4.mid</v>
      </c>
      <c r="AC658" s="0" t="n">
        <v>1573937409</v>
      </c>
      <c r="AD658" s="0" t="n">
        <v>1586042063</v>
      </c>
    </row>
    <row r="659" customFormat="false" ht="12.8" hidden="false" customHeight="false" outlineLevel="0" collapsed="false">
      <c r="A659" s="0" t="s">
        <v>1120</v>
      </c>
      <c r="C659" s="0" t="s">
        <v>1096</v>
      </c>
      <c r="E659" s="0" t="s">
        <v>1096</v>
      </c>
      <c r="F659" s="0" t="s">
        <v>614</v>
      </c>
      <c r="H659" s="0" t="n">
        <v>1613</v>
      </c>
      <c r="I659" s="0" t="s">
        <v>1063</v>
      </c>
      <c r="J659" s="0" t="s">
        <v>36</v>
      </c>
      <c r="K659" s="0" t="s">
        <v>36</v>
      </c>
      <c r="P659" s="0" t="s">
        <v>1120</v>
      </c>
      <c r="R659" s="0" t="s">
        <v>1098</v>
      </c>
      <c r="S659" s="0" t="s">
        <v>84</v>
      </c>
      <c r="T659" s="0" t="n">
        <v>2</v>
      </c>
      <c r="U659" s="0" t="s">
        <v>1099</v>
      </c>
      <c r="V659" s="0" t="s">
        <v>40</v>
      </c>
      <c r="Z659" s="0" t="str">
        <f aca="false">HYPERLINK("http://lutemusic.org/composers/Campion/songs/book_1/15_sing_a_song_of_joy/sing_a_song_of_joy_S.ft3")</f>
        <v>http://lutemusic.org/composers/Campion/songs/book_1/15_sing_a_song_of_joy/sing_a_song_of_joy_S.ft3</v>
      </c>
      <c r="AA659" s="0" t="str">
        <f aca="false">HYPERLINK("http://lutemusic.org/composers/Campion/songs/book_1/15_sing_a_song_of_joy/pdf/sing_a_song_of_joy_S.pdf")</f>
        <v>http://lutemusic.org/composers/Campion/songs/book_1/15_sing_a_song_of_joy/pdf/sing_a_song_of_joy_S.pdf</v>
      </c>
      <c r="AB659" s="0" t="str">
        <f aca="false">HYPERLINK("http://lutemusic.org/composers/Campion/songs/book_1/15_sing_a_song_of_joy/midi/sing_a_song_of_joy_S.mid")</f>
        <v>http://lutemusic.org/composers/Campion/songs/book_1/15_sing_a_song_of_joy/midi/sing_a_song_of_joy_S.mid</v>
      </c>
      <c r="AC659" s="0" t="n">
        <v>1573937409</v>
      </c>
      <c r="AD659" s="0" t="n">
        <v>1586042063</v>
      </c>
    </row>
    <row r="660" customFormat="false" ht="12.8" hidden="false" customHeight="false" outlineLevel="0" collapsed="false">
      <c r="A660" s="0" t="s">
        <v>1120</v>
      </c>
      <c r="C660" s="0" t="s">
        <v>1096</v>
      </c>
      <c r="E660" s="0" t="s">
        <v>1096</v>
      </c>
      <c r="F660" s="0" t="s">
        <v>614</v>
      </c>
      <c r="H660" s="0" t="n">
        <v>1613</v>
      </c>
      <c r="I660" s="0" t="s">
        <v>1063</v>
      </c>
      <c r="J660" s="0" t="s">
        <v>36</v>
      </c>
      <c r="K660" s="0" t="s">
        <v>36</v>
      </c>
      <c r="P660" s="0" t="s">
        <v>1120</v>
      </c>
      <c r="R660" s="0" t="s">
        <v>1098</v>
      </c>
      <c r="S660" s="0" t="s">
        <v>84</v>
      </c>
      <c r="T660" s="0" t="n">
        <v>2</v>
      </c>
      <c r="U660" s="0" t="s">
        <v>1099</v>
      </c>
      <c r="V660" s="0" t="s">
        <v>63</v>
      </c>
      <c r="Z660" s="0" t="str">
        <f aca="false">HYPERLINK("http://lutemusic.org/composers/Campion/songs/book_1/15_sing_a_song_of_joy/sing_a_song_of_joy_T.ft3")</f>
        <v>http://lutemusic.org/composers/Campion/songs/book_1/15_sing_a_song_of_joy/sing_a_song_of_joy_T.ft3</v>
      </c>
      <c r="AA660" s="0" t="str">
        <f aca="false">HYPERLINK("http://lutemusic.org/composers/Campion/songs/book_1/15_sing_a_song_of_joy/pdf/sing_a_song_of_joy_T.pdf")</f>
        <v>http://lutemusic.org/composers/Campion/songs/book_1/15_sing_a_song_of_joy/pdf/sing_a_song_of_joy_T.pdf</v>
      </c>
      <c r="AB660" s="0" t="str">
        <f aca="false">HYPERLINK("http://lutemusic.org/composers/Campion/songs/book_1/15_sing_a_song_of_joy/midi/sing_a_song_of_joy_T.mid")</f>
        <v>http://lutemusic.org/composers/Campion/songs/book_1/15_sing_a_song_of_joy/midi/sing_a_song_of_joy_T.mid</v>
      </c>
      <c r="AC660" s="0" t="n">
        <v>1573937409</v>
      </c>
      <c r="AD660" s="0" t="n">
        <v>1586042063</v>
      </c>
    </row>
    <row r="661" customFormat="false" ht="12.8" hidden="false" customHeight="false" outlineLevel="0" collapsed="false">
      <c r="A661" s="0" t="s">
        <v>1120</v>
      </c>
      <c r="C661" s="0" t="s">
        <v>1096</v>
      </c>
      <c r="E661" s="0" t="s">
        <v>1096</v>
      </c>
      <c r="F661" s="0" t="s">
        <v>614</v>
      </c>
      <c r="H661" s="0" t="n">
        <v>1613</v>
      </c>
      <c r="I661" s="0" t="s">
        <v>1063</v>
      </c>
      <c r="J661" s="0" t="s">
        <v>36</v>
      </c>
      <c r="K661" s="0" t="s">
        <v>36</v>
      </c>
      <c r="P661" s="0" t="s">
        <v>1120</v>
      </c>
      <c r="R661" s="0" t="s">
        <v>1098</v>
      </c>
      <c r="S661" s="0" t="s">
        <v>84</v>
      </c>
      <c r="T661" s="0" t="n">
        <v>2</v>
      </c>
      <c r="U661" s="0" t="s">
        <v>1099</v>
      </c>
      <c r="V661" s="0" t="s">
        <v>1100</v>
      </c>
      <c r="Z661" s="0" t="str">
        <f aca="false">HYPERLINK("http://lutemusic.org/composers/Campion/songs/book_1/15_sing_a_song_of_joy/sing_a_song_of_joy_VB.ft3")</f>
        <v>http://lutemusic.org/composers/Campion/songs/book_1/15_sing_a_song_of_joy/sing_a_song_of_joy_VB.ft3</v>
      </c>
      <c r="AA661" s="0" t="str">
        <f aca="false">HYPERLINK("http://lutemusic.org/composers/Campion/songs/book_1/15_sing_a_song_of_joy/pdf/sing_a_song_of_joy_VB.pdf")</f>
        <v>http://lutemusic.org/composers/Campion/songs/book_1/15_sing_a_song_of_joy/pdf/sing_a_song_of_joy_VB.pdf</v>
      </c>
      <c r="AB661" s="0" t="str">
        <f aca="false">HYPERLINK("http://lutemusic.org/composers/Campion/songs/book_1/15_sing_a_song_of_joy/midi/sing_a_song_of_joy_VB.mid")</f>
        <v>http://lutemusic.org/composers/Campion/songs/book_1/15_sing_a_song_of_joy/midi/sing_a_song_of_joy_VB.mid</v>
      </c>
      <c r="AC661" s="0" t="n">
        <v>1573937409</v>
      </c>
      <c r="AD661" s="0" t="n">
        <v>1586042063</v>
      </c>
    </row>
    <row r="662" customFormat="false" ht="12.8" hidden="false" customHeight="false" outlineLevel="0" collapsed="false">
      <c r="A662" s="0" t="s">
        <v>1121</v>
      </c>
      <c r="C662" s="0" t="s">
        <v>1096</v>
      </c>
      <c r="E662" s="0" t="s">
        <v>1096</v>
      </c>
      <c r="F662" s="0" t="s">
        <v>614</v>
      </c>
      <c r="H662" s="0" t="n">
        <v>1613</v>
      </c>
      <c r="I662" s="0" t="s">
        <v>642</v>
      </c>
      <c r="J662" s="0" t="s">
        <v>36</v>
      </c>
      <c r="K662" s="0" t="s">
        <v>36</v>
      </c>
      <c r="P662" s="0" t="s">
        <v>1121</v>
      </c>
      <c r="R662" s="0" t="s">
        <v>1098</v>
      </c>
      <c r="S662" s="0" t="s">
        <v>84</v>
      </c>
      <c r="T662" s="0" t="n">
        <v>2</v>
      </c>
      <c r="U662" s="0" t="s">
        <v>1099</v>
      </c>
      <c r="V662" s="0" t="s">
        <v>990</v>
      </c>
      <c r="Z662" s="0" t="str">
        <f aca="false">HYPERLINK("http://lutemusic.org/composers/Campion/songs/book_1/16_awake_thou_heavy_sprite/awake_thou_heavy_sprite.ft3")</f>
        <v>http://lutemusic.org/composers/Campion/songs/book_1/16_awake_thou_heavy_sprite/awake_thou_heavy_sprite.ft3</v>
      </c>
      <c r="AA662" s="0" t="str">
        <f aca="false">HYPERLINK("http://lutemusic.org/composers/Campion/songs/book_1/16_awake_thou_heavy_sprite/pdf/awake_thou_heavy_sprite.pdf")</f>
        <v>http://lutemusic.org/composers/Campion/songs/book_1/16_awake_thou_heavy_sprite/pdf/awake_thou_heavy_sprite.pdf</v>
      </c>
      <c r="AB662" s="0" t="str">
        <f aca="false">HYPERLINK("http://lutemusic.org/composers/Campion/songs/book_1/16_awake_thou_heavy_sprite/midi/awake_thou_heavy_sprite.mid")</f>
        <v>http://lutemusic.org/composers/Campion/songs/book_1/16_awake_thou_heavy_sprite/midi/awake_thou_heavy_sprite.mid</v>
      </c>
      <c r="AC662" s="0" t="n">
        <v>1573937409</v>
      </c>
      <c r="AD662" s="0" t="n">
        <v>1586042063</v>
      </c>
    </row>
    <row r="663" customFormat="false" ht="12.8" hidden="false" customHeight="false" outlineLevel="0" collapsed="false">
      <c r="A663" s="0" t="s">
        <v>1121</v>
      </c>
      <c r="C663" s="0" t="s">
        <v>1096</v>
      </c>
      <c r="E663" s="0" t="s">
        <v>1096</v>
      </c>
      <c r="F663" s="0" t="s">
        <v>614</v>
      </c>
      <c r="H663" s="0" t="n">
        <v>1613</v>
      </c>
      <c r="I663" s="0" t="s">
        <v>642</v>
      </c>
      <c r="J663" s="0" t="s">
        <v>36</v>
      </c>
      <c r="K663" s="0" t="s">
        <v>36</v>
      </c>
      <c r="P663" s="0" t="s">
        <v>1121</v>
      </c>
      <c r="R663" s="0" t="s">
        <v>1098</v>
      </c>
      <c r="S663" s="0" t="s">
        <v>84</v>
      </c>
      <c r="T663" s="0" t="n">
        <v>2</v>
      </c>
      <c r="U663" s="0" t="s">
        <v>1099</v>
      </c>
      <c r="V663" s="0" t="s">
        <v>535</v>
      </c>
      <c r="Z663" s="0" t="str">
        <f aca="false">HYPERLINK("http://lutemusic.org/composers/Campion/songs/book_1/16_awake_thou_heavy_sprite/awake_thou_heavy_sprite_4.ft3")</f>
        <v>http://lutemusic.org/composers/Campion/songs/book_1/16_awake_thou_heavy_sprite/awake_thou_heavy_sprite_4.ft3</v>
      </c>
      <c r="AA663" s="0" t="str">
        <f aca="false">HYPERLINK("http://lutemusic.org/composers/Campion/songs/book_1/16_awake_thou_heavy_sprite/pdf/awake_thou_heavy_sprite_4.pdf")</f>
        <v>http://lutemusic.org/composers/Campion/songs/book_1/16_awake_thou_heavy_sprite/pdf/awake_thou_heavy_sprite_4.pdf</v>
      </c>
      <c r="AB663" s="0" t="str">
        <f aca="false">HYPERLINK("http://lutemusic.org/composers/Campion/songs/book_1/16_awake_thou_heavy_sprite/midi/awake_thou_heavy_sprite_4.mid")</f>
        <v>http://lutemusic.org/composers/Campion/songs/book_1/16_awake_thou_heavy_sprite/midi/awake_thou_heavy_sprite_4.mid</v>
      </c>
      <c r="AC663" s="0" t="n">
        <v>1573937409</v>
      </c>
      <c r="AD663" s="0" t="n">
        <v>1586042063</v>
      </c>
    </row>
    <row r="664" customFormat="false" ht="12.8" hidden="false" customHeight="false" outlineLevel="0" collapsed="false">
      <c r="A664" s="0" t="s">
        <v>1121</v>
      </c>
      <c r="C664" s="0" t="s">
        <v>1096</v>
      </c>
      <c r="E664" s="0" t="s">
        <v>1096</v>
      </c>
      <c r="F664" s="0" t="s">
        <v>614</v>
      </c>
      <c r="H664" s="0" t="n">
        <v>1613</v>
      </c>
      <c r="I664" s="0" t="s">
        <v>642</v>
      </c>
      <c r="J664" s="0" t="s">
        <v>36</v>
      </c>
      <c r="K664" s="0" t="s">
        <v>36</v>
      </c>
      <c r="P664" s="0" t="s">
        <v>1121</v>
      </c>
      <c r="R664" s="0" t="s">
        <v>1098</v>
      </c>
      <c r="S664" s="0" t="s">
        <v>84</v>
      </c>
      <c r="T664" s="0" t="n">
        <v>2</v>
      </c>
      <c r="U664" s="0" t="s">
        <v>1099</v>
      </c>
      <c r="V664" s="0" t="s">
        <v>40</v>
      </c>
      <c r="Z664" s="0" t="str">
        <f aca="false">HYPERLINK("http://lutemusic.org/composers/Campion/songs/book_1/16_awake_thou_heavy_sprite/awake_thou_heavy_sprite_S.ft3")</f>
        <v>http://lutemusic.org/composers/Campion/songs/book_1/16_awake_thou_heavy_sprite/awake_thou_heavy_sprite_S.ft3</v>
      </c>
      <c r="AA664" s="0" t="str">
        <f aca="false">HYPERLINK("http://lutemusic.org/composers/Campion/songs/book_1/16_awake_thou_heavy_sprite/pdf/awake_thou_heavy_sprite_S.pdf")</f>
        <v>http://lutemusic.org/composers/Campion/songs/book_1/16_awake_thou_heavy_sprite/pdf/awake_thou_heavy_sprite_S.pdf</v>
      </c>
      <c r="AB664" s="0" t="str">
        <f aca="false">HYPERLINK("http://lutemusic.org/composers/Campion/songs/book_1/16_awake_thou_heavy_sprite/midi/awake_thou_heavy_sprite_S.mid")</f>
        <v>http://lutemusic.org/composers/Campion/songs/book_1/16_awake_thou_heavy_sprite/midi/awake_thou_heavy_sprite_S.mid</v>
      </c>
      <c r="AC664" s="0" t="n">
        <v>1573937409</v>
      </c>
      <c r="AD664" s="0" t="n">
        <v>1586042063</v>
      </c>
    </row>
    <row r="665" customFormat="false" ht="12.8" hidden="false" customHeight="false" outlineLevel="0" collapsed="false">
      <c r="A665" s="0" t="s">
        <v>1121</v>
      </c>
      <c r="C665" s="0" t="s">
        <v>1096</v>
      </c>
      <c r="E665" s="0" t="s">
        <v>1096</v>
      </c>
      <c r="F665" s="0" t="s">
        <v>614</v>
      </c>
      <c r="H665" s="0" t="n">
        <v>1613</v>
      </c>
      <c r="I665" s="0" t="s">
        <v>642</v>
      </c>
      <c r="J665" s="0" t="s">
        <v>36</v>
      </c>
      <c r="K665" s="0" t="s">
        <v>36</v>
      </c>
      <c r="P665" s="0" t="s">
        <v>1121</v>
      </c>
      <c r="R665" s="0" t="s">
        <v>1098</v>
      </c>
      <c r="S665" s="0" t="s">
        <v>84</v>
      </c>
      <c r="T665" s="0" t="n">
        <v>2</v>
      </c>
      <c r="U665" s="0" t="s">
        <v>1099</v>
      </c>
      <c r="V665" s="0" t="s">
        <v>63</v>
      </c>
      <c r="Z665" s="0" t="str">
        <f aca="false">HYPERLINK("http://lutemusic.org/composers/Campion/songs/book_1/16_awake_thou_heavy_sprite/awake_thou_heavy_sprite_T.ft3")</f>
        <v>http://lutemusic.org/composers/Campion/songs/book_1/16_awake_thou_heavy_sprite/awake_thou_heavy_sprite_T.ft3</v>
      </c>
      <c r="AA665" s="0" t="str">
        <f aca="false">HYPERLINK("http://lutemusic.org/composers/Campion/songs/book_1/16_awake_thou_heavy_sprite/pdf/awake_thou_heavy_sprite_T.pdf")</f>
        <v>http://lutemusic.org/composers/Campion/songs/book_1/16_awake_thou_heavy_sprite/pdf/awake_thou_heavy_sprite_T.pdf</v>
      </c>
      <c r="AB665" s="0" t="str">
        <f aca="false">HYPERLINK("http://lutemusic.org/composers/Campion/songs/book_1/16_awake_thou_heavy_sprite/midi/awake_thou_heavy_sprite_T.mid")</f>
        <v>http://lutemusic.org/composers/Campion/songs/book_1/16_awake_thou_heavy_sprite/midi/awake_thou_heavy_sprite_T.mid</v>
      </c>
      <c r="AC665" s="0" t="n">
        <v>1573937409</v>
      </c>
      <c r="AD665" s="0" t="n">
        <v>1586042063</v>
      </c>
    </row>
    <row r="666" customFormat="false" ht="12.8" hidden="false" customHeight="false" outlineLevel="0" collapsed="false">
      <c r="A666" s="0" t="s">
        <v>1121</v>
      </c>
      <c r="C666" s="0" t="s">
        <v>1096</v>
      </c>
      <c r="E666" s="0" t="s">
        <v>1096</v>
      </c>
      <c r="F666" s="0" t="s">
        <v>614</v>
      </c>
      <c r="H666" s="0" t="n">
        <v>1613</v>
      </c>
      <c r="I666" s="0" t="s">
        <v>642</v>
      </c>
      <c r="J666" s="0" t="s">
        <v>36</v>
      </c>
      <c r="K666" s="0" t="s">
        <v>36</v>
      </c>
      <c r="P666" s="0" t="s">
        <v>1121</v>
      </c>
      <c r="R666" s="0" t="s">
        <v>1098</v>
      </c>
      <c r="S666" s="0" t="s">
        <v>84</v>
      </c>
      <c r="T666" s="0" t="n">
        <v>2</v>
      </c>
      <c r="U666" s="0" t="s">
        <v>1099</v>
      </c>
      <c r="V666" s="0" t="s">
        <v>1100</v>
      </c>
      <c r="Z666" s="0" t="str">
        <f aca="false">HYPERLINK("http://lutemusic.org/composers/Campion/songs/book_1/16_awake_thou_heavy_sprite/awake_thou_heavy_sprite_VB.ft3")</f>
        <v>http://lutemusic.org/composers/Campion/songs/book_1/16_awake_thou_heavy_sprite/awake_thou_heavy_sprite_VB.ft3</v>
      </c>
      <c r="AA666" s="0" t="str">
        <f aca="false">HYPERLINK("http://lutemusic.org/composers/Campion/songs/book_1/16_awake_thou_heavy_sprite/pdf/awake_thou_heavy_sprite_VB.pdf")</f>
        <v>http://lutemusic.org/composers/Campion/songs/book_1/16_awake_thou_heavy_sprite/pdf/awake_thou_heavy_sprite_VB.pdf</v>
      </c>
      <c r="AB666" s="0" t="str">
        <f aca="false">HYPERLINK("http://lutemusic.org/composers/Campion/songs/book_1/16_awake_thou_heavy_sprite/midi/awake_thou_heavy_sprite_VB.mid")</f>
        <v>http://lutemusic.org/composers/Campion/songs/book_1/16_awake_thou_heavy_sprite/midi/awake_thou_heavy_sprite_VB.mid</v>
      </c>
      <c r="AC666" s="0" t="n">
        <v>1573937409</v>
      </c>
      <c r="AD666" s="0" t="n">
        <v>1586042063</v>
      </c>
    </row>
    <row r="667" customFormat="false" ht="12.8" hidden="false" customHeight="false" outlineLevel="0" collapsed="false">
      <c r="A667" s="0" t="s">
        <v>1122</v>
      </c>
      <c r="C667" s="0" t="s">
        <v>1096</v>
      </c>
      <c r="E667" s="0" t="s">
        <v>1096</v>
      </c>
      <c r="F667" s="0" t="s">
        <v>614</v>
      </c>
      <c r="H667" s="0" t="n">
        <v>1613</v>
      </c>
      <c r="I667" s="0" t="s">
        <v>413</v>
      </c>
      <c r="J667" s="0" t="s">
        <v>36</v>
      </c>
      <c r="K667" s="0" t="s">
        <v>36</v>
      </c>
      <c r="P667" s="0" t="s">
        <v>1122</v>
      </c>
      <c r="R667" s="0" t="s">
        <v>51</v>
      </c>
      <c r="S667" s="0" t="s">
        <v>119</v>
      </c>
      <c r="T667" s="0" t="n">
        <v>2</v>
      </c>
      <c r="U667" s="0" t="s">
        <v>1123</v>
      </c>
      <c r="V667" s="0" t="s">
        <v>990</v>
      </c>
      <c r="Z667" s="0" t="str">
        <f aca="false">HYPERLINK("http://lutemusic.org/composers/Campion/songs/book_1/17_come_cheerful_day/come_cheerful_day.ft3")</f>
        <v>http://lutemusic.org/composers/Campion/songs/book_1/17_come_cheerful_day/come_cheerful_day.ft3</v>
      </c>
      <c r="AA667" s="0" t="str">
        <f aca="false">HYPERLINK("http://lutemusic.org/composers/Campion/songs/book_1/17_come_cheerful_day/pdf/come_cheerful_day.pdf")</f>
        <v>http://lutemusic.org/composers/Campion/songs/book_1/17_come_cheerful_day/pdf/come_cheerful_day.pdf</v>
      </c>
      <c r="AB667" s="0" t="str">
        <f aca="false">HYPERLINK("http://lutemusic.org/composers/Campion/songs/book_1/17_come_cheerful_day/midi/come_cheerful_day.mid")</f>
        <v>http://lutemusic.org/composers/Campion/songs/book_1/17_come_cheerful_day/midi/come_cheerful_day.mid</v>
      </c>
      <c r="AC667" s="0" t="n">
        <v>1573937409</v>
      </c>
      <c r="AD667" s="0" t="n">
        <v>1586042063</v>
      </c>
    </row>
    <row r="668" customFormat="false" ht="12.8" hidden="false" customHeight="false" outlineLevel="0" collapsed="false">
      <c r="A668" s="0" t="s">
        <v>1122</v>
      </c>
      <c r="C668" s="0" t="s">
        <v>1096</v>
      </c>
      <c r="E668" s="0" t="s">
        <v>1096</v>
      </c>
      <c r="F668" s="0" t="s">
        <v>614</v>
      </c>
      <c r="H668" s="0" t="n">
        <v>1613</v>
      </c>
      <c r="I668" s="0" t="s">
        <v>413</v>
      </c>
      <c r="J668" s="0" t="s">
        <v>36</v>
      </c>
      <c r="K668" s="0" t="s">
        <v>36</v>
      </c>
      <c r="P668" s="0" t="s">
        <v>1122</v>
      </c>
      <c r="R668" s="0" t="s">
        <v>51</v>
      </c>
      <c r="S668" s="0" t="s">
        <v>119</v>
      </c>
      <c r="T668" s="0" t="n">
        <v>2</v>
      </c>
      <c r="U668" s="0" t="s">
        <v>1123</v>
      </c>
      <c r="V668" s="0" t="s">
        <v>1124</v>
      </c>
      <c r="Z668" s="0" t="str">
        <f aca="false">HYPERLINK("http://lutemusic.org/composers/Campion/songs/book_1/17_come_cheerful_day/come_cheerful_day_3.ft3")</f>
        <v>http://lutemusic.org/composers/Campion/songs/book_1/17_come_cheerful_day/come_cheerful_day_3.ft3</v>
      </c>
      <c r="AA668" s="0" t="str">
        <f aca="false">HYPERLINK("http://lutemusic.org/composers/Campion/songs/book_1/17_come_cheerful_day/pdf/come_cheerful_day_3.pdf")</f>
        <v>http://lutemusic.org/composers/Campion/songs/book_1/17_come_cheerful_day/pdf/come_cheerful_day_3.pdf</v>
      </c>
      <c r="AB668" s="0" t="str">
        <f aca="false">HYPERLINK("http://lutemusic.org/composers/Campion/songs/book_1/17_come_cheerful_day/midi/come_cheerful_day_3.mid")</f>
        <v>http://lutemusic.org/composers/Campion/songs/book_1/17_come_cheerful_day/midi/come_cheerful_day_3.mid</v>
      </c>
      <c r="AC668" s="0" t="n">
        <v>1573937409</v>
      </c>
      <c r="AD668" s="0" t="n">
        <v>1586042063</v>
      </c>
    </row>
    <row r="669" customFormat="false" ht="12.8" hidden="false" customHeight="false" outlineLevel="0" collapsed="false">
      <c r="A669" s="0" t="s">
        <v>1122</v>
      </c>
      <c r="C669" s="0" t="s">
        <v>1096</v>
      </c>
      <c r="E669" s="0" t="s">
        <v>1096</v>
      </c>
      <c r="F669" s="0" t="s">
        <v>614</v>
      </c>
      <c r="H669" s="0" t="n">
        <v>1613</v>
      </c>
      <c r="I669" s="0" t="s">
        <v>413</v>
      </c>
      <c r="J669" s="0" t="s">
        <v>36</v>
      </c>
      <c r="K669" s="0" t="s">
        <v>36</v>
      </c>
      <c r="P669" s="0" t="s">
        <v>1122</v>
      </c>
      <c r="R669" s="0" t="s">
        <v>51</v>
      </c>
      <c r="S669" s="0" t="s">
        <v>119</v>
      </c>
      <c r="T669" s="0" t="n">
        <v>2</v>
      </c>
      <c r="U669" s="0" t="s">
        <v>1123</v>
      </c>
      <c r="V669" s="0" t="s">
        <v>40</v>
      </c>
      <c r="Z669" s="0" t="str">
        <f aca="false">HYPERLINK("http://lutemusic.org/composers/Campion/songs/book_1/17_come_cheerful_day/come_cheerful_day_S.ft3")</f>
        <v>http://lutemusic.org/composers/Campion/songs/book_1/17_come_cheerful_day/come_cheerful_day_S.ft3</v>
      </c>
      <c r="AA669" s="0" t="str">
        <f aca="false">HYPERLINK("http://lutemusic.org/composers/Campion/songs/book_1/17_come_cheerful_day/pdf/come_cheerful_day_S.pdf")</f>
        <v>http://lutemusic.org/composers/Campion/songs/book_1/17_come_cheerful_day/pdf/come_cheerful_day_S.pdf</v>
      </c>
      <c r="AB669" s="0" t="str">
        <f aca="false">HYPERLINK("http://lutemusic.org/composers/Campion/songs/book_1/17_come_cheerful_day/midi/come_cheerful_day_S.mid")</f>
        <v>http://lutemusic.org/composers/Campion/songs/book_1/17_come_cheerful_day/midi/come_cheerful_day_S.mid</v>
      </c>
      <c r="AC669" s="0" t="n">
        <v>1573937409</v>
      </c>
      <c r="AD669" s="0" t="n">
        <v>1586042063</v>
      </c>
    </row>
    <row r="670" customFormat="false" ht="12.8" hidden="false" customHeight="false" outlineLevel="0" collapsed="false">
      <c r="A670" s="0" t="s">
        <v>1122</v>
      </c>
      <c r="C670" s="0" t="s">
        <v>1096</v>
      </c>
      <c r="E670" s="0" t="s">
        <v>1096</v>
      </c>
      <c r="F670" s="0" t="s">
        <v>614</v>
      </c>
      <c r="H670" s="0" t="n">
        <v>1613</v>
      </c>
      <c r="I670" s="0" t="s">
        <v>413</v>
      </c>
      <c r="J670" s="0" t="s">
        <v>36</v>
      </c>
      <c r="K670" s="0" t="s">
        <v>36</v>
      </c>
      <c r="P670" s="0" t="s">
        <v>1122</v>
      </c>
      <c r="R670" s="0" t="s">
        <v>51</v>
      </c>
      <c r="S670" s="0" t="s">
        <v>119</v>
      </c>
      <c r="T670" s="0" t="n">
        <v>2</v>
      </c>
      <c r="U670" s="0" t="s">
        <v>1123</v>
      </c>
      <c r="V670" s="0" t="s">
        <v>63</v>
      </c>
      <c r="Z670" s="0" t="str">
        <f aca="false">HYPERLINK("http://lutemusic.org/composers/Campion/songs/book_1/17_come_cheerful_day/come_cheerful_day_T.ft3")</f>
        <v>http://lutemusic.org/composers/Campion/songs/book_1/17_come_cheerful_day/come_cheerful_day_T.ft3</v>
      </c>
      <c r="AA670" s="0" t="str">
        <f aca="false">HYPERLINK("http://lutemusic.org/composers/Campion/songs/book_1/17_come_cheerful_day/pdf/come_cheerful_day_T.pdf")</f>
        <v>http://lutemusic.org/composers/Campion/songs/book_1/17_come_cheerful_day/pdf/come_cheerful_day_T.pdf</v>
      </c>
      <c r="AB670" s="0" t="str">
        <f aca="false">HYPERLINK("http://lutemusic.org/composers/Campion/songs/book_1/17_come_cheerful_day/midi/come_cheerful_day_T.mid")</f>
        <v>http://lutemusic.org/composers/Campion/songs/book_1/17_come_cheerful_day/midi/come_cheerful_day_T.mid</v>
      </c>
      <c r="AC670" s="0" t="n">
        <v>1573937409</v>
      </c>
      <c r="AD670" s="0" t="n">
        <v>1586042063</v>
      </c>
    </row>
    <row r="671" customFormat="false" ht="12.8" hidden="false" customHeight="false" outlineLevel="0" collapsed="false">
      <c r="A671" s="0" t="s">
        <v>1122</v>
      </c>
      <c r="C671" s="0" t="s">
        <v>1096</v>
      </c>
      <c r="E671" s="0" t="s">
        <v>1096</v>
      </c>
      <c r="F671" s="0" t="s">
        <v>614</v>
      </c>
      <c r="H671" s="0" t="n">
        <v>1613</v>
      </c>
      <c r="I671" s="0" t="s">
        <v>413</v>
      </c>
      <c r="J671" s="0" t="s">
        <v>36</v>
      </c>
      <c r="K671" s="0" t="s">
        <v>36</v>
      </c>
      <c r="P671" s="0" t="s">
        <v>1122</v>
      </c>
      <c r="R671" s="0" t="s">
        <v>51</v>
      </c>
      <c r="S671" s="0" t="s">
        <v>119</v>
      </c>
      <c r="T671" s="0" t="n">
        <v>2</v>
      </c>
      <c r="U671" s="0" t="s">
        <v>1123</v>
      </c>
      <c r="V671" s="0" t="s">
        <v>1100</v>
      </c>
      <c r="Z671" s="0" t="str">
        <f aca="false">HYPERLINK("http://lutemusic.org/composers/Campion/songs/book_1/17_come_cheerful_day/come_cheerful_day_VB.ft3")</f>
        <v>http://lutemusic.org/composers/Campion/songs/book_1/17_come_cheerful_day/come_cheerful_day_VB.ft3</v>
      </c>
      <c r="AA671" s="0" t="str">
        <f aca="false">HYPERLINK("http://lutemusic.org/composers/Campion/songs/book_1/17_come_cheerful_day/pdf/come_cheerful_day_VB.pdf")</f>
        <v>http://lutemusic.org/composers/Campion/songs/book_1/17_come_cheerful_day/pdf/come_cheerful_day_VB.pdf</v>
      </c>
      <c r="AB671" s="0" t="str">
        <f aca="false">HYPERLINK("http://lutemusic.org/composers/Campion/songs/book_1/17_come_cheerful_day/midi/come_cheerful_day_VB.mid")</f>
        <v>http://lutemusic.org/composers/Campion/songs/book_1/17_come_cheerful_day/midi/come_cheerful_day_VB.mid</v>
      </c>
      <c r="AC671" s="0" t="n">
        <v>1573937409</v>
      </c>
      <c r="AD671" s="0" t="n">
        <v>1586042063</v>
      </c>
    </row>
    <row r="672" customFormat="false" ht="12.8" hidden="false" customHeight="false" outlineLevel="0" collapsed="false">
      <c r="A672" s="0" t="s">
        <v>1125</v>
      </c>
      <c r="C672" s="0" t="s">
        <v>1096</v>
      </c>
      <c r="E672" s="0" t="s">
        <v>1096</v>
      </c>
      <c r="F672" s="0" t="s">
        <v>614</v>
      </c>
      <c r="H672" s="0" t="n">
        <v>1613</v>
      </c>
      <c r="I672" s="0" t="s">
        <v>1126</v>
      </c>
      <c r="J672" s="0" t="s">
        <v>36</v>
      </c>
      <c r="K672" s="0" t="s">
        <v>36</v>
      </c>
      <c r="P672" s="0" t="s">
        <v>1125</v>
      </c>
      <c r="R672" s="0" t="s">
        <v>1098</v>
      </c>
      <c r="S672" s="0" t="s">
        <v>119</v>
      </c>
      <c r="T672" s="0" t="n">
        <v>2</v>
      </c>
      <c r="U672" s="0" t="s">
        <v>1123</v>
      </c>
      <c r="V672" s="0" t="s">
        <v>990</v>
      </c>
      <c r="Z672" s="0" t="str">
        <f aca="false">HYPERLINK("http://lutemusic.org/composers/Campion/songs/book_1/18_seek_the_lord/seek_the_lord.ft3")</f>
        <v>http://lutemusic.org/composers/Campion/songs/book_1/18_seek_the_lord/seek_the_lord.ft3</v>
      </c>
      <c r="AA672" s="0" t="str">
        <f aca="false">HYPERLINK("http://lutemusic.org/composers/Campion/songs/book_1/18_seek_the_lord/pdf/seek_the_lord.pdf")</f>
        <v>http://lutemusic.org/composers/Campion/songs/book_1/18_seek_the_lord/pdf/seek_the_lord.pdf</v>
      </c>
      <c r="AB672" s="0" t="str">
        <f aca="false">HYPERLINK("http://lutemusic.org/composers/Campion/songs/book_1/18_seek_the_lord/midi/seek_the_lord.mid")</f>
        <v>http://lutemusic.org/composers/Campion/songs/book_1/18_seek_the_lord/midi/seek_the_lord.mid</v>
      </c>
      <c r="AC672" s="0" t="n">
        <v>1573937409</v>
      </c>
      <c r="AD672" s="0" t="n">
        <v>1586042063</v>
      </c>
    </row>
    <row r="673" customFormat="false" ht="12.8" hidden="false" customHeight="false" outlineLevel="0" collapsed="false">
      <c r="A673" s="0" t="s">
        <v>1125</v>
      </c>
      <c r="C673" s="0" t="s">
        <v>1096</v>
      </c>
      <c r="E673" s="0" t="s">
        <v>1096</v>
      </c>
      <c r="F673" s="0" t="s">
        <v>614</v>
      </c>
      <c r="H673" s="0" t="n">
        <v>1613</v>
      </c>
      <c r="I673" s="0" t="s">
        <v>1126</v>
      </c>
      <c r="J673" s="0" t="s">
        <v>36</v>
      </c>
      <c r="K673" s="0" t="s">
        <v>36</v>
      </c>
      <c r="P673" s="0" t="s">
        <v>1125</v>
      </c>
      <c r="R673" s="0" t="s">
        <v>1098</v>
      </c>
      <c r="S673" s="0" t="s">
        <v>119</v>
      </c>
      <c r="T673" s="0" t="n">
        <v>2</v>
      </c>
      <c r="U673" s="0" t="s">
        <v>1123</v>
      </c>
      <c r="V673" s="0" t="s">
        <v>1124</v>
      </c>
      <c r="Z673" s="0" t="str">
        <f aca="false">HYPERLINK("http://lutemusic.org/composers/Campion/songs/book_1/18_seek_the_lord/seek_the_lord_3.ft3")</f>
        <v>http://lutemusic.org/composers/Campion/songs/book_1/18_seek_the_lord/seek_the_lord_3.ft3</v>
      </c>
      <c r="AA673" s="0" t="str">
        <f aca="false">HYPERLINK("http://lutemusic.org/composers/Campion/songs/book_1/18_seek_the_lord/pdf/seek_the_lord_3.pdf")</f>
        <v>http://lutemusic.org/composers/Campion/songs/book_1/18_seek_the_lord/pdf/seek_the_lord_3.pdf</v>
      </c>
      <c r="AB673" s="0" t="str">
        <f aca="false">HYPERLINK("http://lutemusic.org/composers/Campion/songs/book_1/18_seek_the_lord/midi/seek_the_lord_3.mid")</f>
        <v>http://lutemusic.org/composers/Campion/songs/book_1/18_seek_the_lord/midi/seek_the_lord_3.mid</v>
      </c>
      <c r="AC673" s="0" t="n">
        <v>1573937409</v>
      </c>
      <c r="AD673" s="0" t="n">
        <v>1586042063</v>
      </c>
    </row>
    <row r="674" customFormat="false" ht="12.8" hidden="false" customHeight="false" outlineLevel="0" collapsed="false">
      <c r="A674" s="0" t="s">
        <v>1125</v>
      </c>
      <c r="C674" s="0" t="s">
        <v>1096</v>
      </c>
      <c r="E674" s="0" t="s">
        <v>1096</v>
      </c>
      <c r="F674" s="0" t="s">
        <v>614</v>
      </c>
      <c r="H674" s="0" t="n">
        <v>1613</v>
      </c>
      <c r="I674" s="0" t="s">
        <v>1126</v>
      </c>
      <c r="J674" s="0" t="s">
        <v>36</v>
      </c>
      <c r="K674" s="0" t="s">
        <v>36</v>
      </c>
      <c r="P674" s="0" t="s">
        <v>1125</v>
      </c>
      <c r="R674" s="0" t="s">
        <v>1098</v>
      </c>
      <c r="S674" s="0" t="s">
        <v>119</v>
      </c>
      <c r="T674" s="0" t="n">
        <v>2</v>
      </c>
      <c r="U674" s="0" t="s">
        <v>1123</v>
      </c>
      <c r="V674" s="0" t="s">
        <v>40</v>
      </c>
      <c r="Z674" s="0" t="str">
        <f aca="false">HYPERLINK("http://lutemusic.org/composers/Campion/songs/book_1/18_seek_the_lord/seek_the_lord_S.ft3")</f>
        <v>http://lutemusic.org/composers/Campion/songs/book_1/18_seek_the_lord/seek_the_lord_S.ft3</v>
      </c>
      <c r="AA674" s="0" t="str">
        <f aca="false">HYPERLINK("http://lutemusic.org/composers/Campion/songs/book_1/18_seek_the_lord/pdf/seek_the_lord_S.pdf")</f>
        <v>http://lutemusic.org/composers/Campion/songs/book_1/18_seek_the_lord/pdf/seek_the_lord_S.pdf</v>
      </c>
      <c r="AB674" s="0" t="str">
        <f aca="false">HYPERLINK("http://lutemusic.org/composers/Campion/songs/book_1/18_seek_the_lord/midi/seek_the_lord_S.mid")</f>
        <v>http://lutemusic.org/composers/Campion/songs/book_1/18_seek_the_lord/midi/seek_the_lord_S.mid</v>
      </c>
      <c r="AC674" s="0" t="n">
        <v>1573937409</v>
      </c>
      <c r="AD674" s="0" t="n">
        <v>1586042063</v>
      </c>
    </row>
    <row r="675" customFormat="false" ht="12.8" hidden="false" customHeight="false" outlineLevel="0" collapsed="false">
      <c r="A675" s="0" t="s">
        <v>1125</v>
      </c>
      <c r="C675" s="0" t="s">
        <v>1096</v>
      </c>
      <c r="E675" s="0" t="s">
        <v>1096</v>
      </c>
      <c r="F675" s="0" t="s">
        <v>614</v>
      </c>
      <c r="H675" s="0" t="n">
        <v>1613</v>
      </c>
      <c r="I675" s="0" t="s">
        <v>1126</v>
      </c>
      <c r="J675" s="0" t="s">
        <v>36</v>
      </c>
      <c r="K675" s="0" t="s">
        <v>36</v>
      </c>
      <c r="P675" s="0" t="s">
        <v>1125</v>
      </c>
      <c r="R675" s="0" t="s">
        <v>51</v>
      </c>
      <c r="S675" s="0" t="s">
        <v>119</v>
      </c>
      <c r="T675" s="0" t="n">
        <v>2</v>
      </c>
      <c r="U675" s="0" t="s">
        <v>1123</v>
      </c>
      <c r="V675" s="0" t="s">
        <v>63</v>
      </c>
      <c r="Z675" s="0" t="str">
        <f aca="false">HYPERLINK("http://lutemusic.org/composers/Campion/songs/book_1/18_seek_the_lord/seek_the_lord_T.ft3")</f>
        <v>http://lutemusic.org/composers/Campion/songs/book_1/18_seek_the_lord/seek_the_lord_T.ft3</v>
      </c>
      <c r="AA675" s="0" t="str">
        <f aca="false">HYPERLINK("http://lutemusic.org/composers/Campion/songs/book_1/18_seek_the_lord/pdf/seek_the_lord_T.pdf")</f>
        <v>http://lutemusic.org/composers/Campion/songs/book_1/18_seek_the_lord/pdf/seek_the_lord_T.pdf</v>
      </c>
      <c r="AB675" s="0" t="str">
        <f aca="false">HYPERLINK("http://lutemusic.org/composers/Campion/songs/book_1/18_seek_the_lord/midi/seek_the_lord_T.mid")</f>
        <v>http://lutemusic.org/composers/Campion/songs/book_1/18_seek_the_lord/midi/seek_the_lord_T.mid</v>
      </c>
      <c r="AC675" s="0" t="n">
        <v>1573937409</v>
      </c>
      <c r="AD675" s="0" t="n">
        <v>1586042063</v>
      </c>
    </row>
    <row r="676" customFormat="false" ht="12.8" hidden="false" customHeight="false" outlineLevel="0" collapsed="false">
      <c r="A676" s="0" t="s">
        <v>1125</v>
      </c>
      <c r="C676" s="0" t="s">
        <v>1096</v>
      </c>
      <c r="E676" s="0" t="s">
        <v>1096</v>
      </c>
      <c r="F676" s="0" t="s">
        <v>614</v>
      </c>
      <c r="H676" s="0" t="n">
        <v>1613</v>
      </c>
      <c r="I676" s="0" t="s">
        <v>1126</v>
      </c>
      <c r="J676" s="0" t="s">
        <v>36</v>
      </c>
      <c r="K676" s="0" t="s">
        <v>36</v>
      </c>
      <c r="P676" s="0" t="s">
        <v>1125</v>
      </c>
      <c r="R676" s="0" t="s">
        <v>1098</v>
      </c>
      <c r="S676" s="0" t="s">
        <v>119</v>
      </c>
      <c r="T676" s="0" t="n">
        <v>2</v>
      </c>
      <c r="U676" s="0" t="s">
        <v>1123</v>
      </c>
      <c r="V676" s="0" t="s">
        <v>1100</v>
      </c>
      <c r="Z676" s="0" t="str">
        <f aca="false">HYPERLINK("http://lutemusic.org/composers/Campion/songs/book_1/18_seek_the_lord/seek_the_lord_VB.ft3")</f>
        <v>http://lutemusic.org/composers/Campion/songs/book_1/18_seek_the_lord/seek_the_lord_VB.ft3</v>
      </c>
      <c r="AA676" s="0" t="str">
        <f aca="false">HYPERLINK("http://lutemusic.org/composers/Campion/songs/book_1/18_seek_the_lord/pdf/seek_the_lord_VB.pdf")</f>
        <v>http://lutemusic.org/composers/Campion/songs/book_1/18_seek_the_lord/pdf/seek_the_lord_VB.pdf</v>
      </c>
      <c r="AB676" s="0" t="str">
        <f aca="false">HYPERLINK("http://lutemusic.org/composers/Campion/songs/book_1/18_seek_the_lord/midi/seek_the_lord_VB.mid")</f>
        <v>http://lutemusic.org/composers/Campion/songs/book_1/18_seek_the_lord/midi/seek_the_lord_VB.mid</v>
      </c>
      <c r="AC676" s="0" t="n">
        <v>1573937409</v>
      </c>
      <c r="AD676" s="0" t="n">
        <v>1586042063</v>
      </c>
    </row>
    <row r="677" customFormat="false" ht="12.8" hidden="false" customHeight="false" outlineLevel="0" collapsed="false">
      <c r="A677" s="0" t="s">
        <v>1127</v>
      </c>
      <c r="C677" s="0" t="s">
        <v>1096</v>
      </c>
      <c r="E677" s="0" t="s">
        <v>1096</v>
      </c>
      <c r="F677" s="0" t="s">
        <v>614</v>
      </c>
      <c r="H677" s="0" t="n">
        <v>1613</v>
      </c>
      <c r="I677" s="0" t="s">
        <v>1128</v>
      </c>
      <c r="J677" s="0" t="s">
        <v>36</v>
      </c>
      <c r="K677" s="0" t="s">
        <v>36</v>
      </c>
      <c r="P677" s="0" t="s">
        <v>1127</v>
      </c>
      <c r="R677" s="0" t="s">
        <v>51</v>
      </c>
      <c r="S677" s="0" t="s">
        <v>84</v>
      </c>
      <c r="T677" s="0" t="n">
        <v>2</v>
      </c>
      <c r="U677" s="0" t="s">
        <v>1123</v>
      </c>
      <c r="V677" s="0" t="s">
        <v>990</v>
      </c>
      <c r="Z677" s="0" t="str">
        <f aca="false">HYPERLINK("http://lutemusic.org/composers/Campion/songs/book_1/19_lighten_heavy_heart_thy_sprite/lighten_heavy_heart.ft3")</f>
        <v>http://lutemusic.org/composers/Campion/songs/book_1/19_lighten_heavy_heart_thy_sprite/lighten_heavy_heart.ft3</v>
      </c>
      <c r="AA677" s="0" t="str">
        <f aca="false">HYPERLINK("http://lutemusic.org/composers/Campion/songs/book_1/19_lighten_heavy_heart_thy_sprite/pdf/lighten_heavy_heart.pdf")</f>
        <v>http://lutemusic.org/composers/Campion/songs/book_1/19_lighten_heavy_heart_thy_sprite/pdf/lighten_heavy_heart.pdf</v>
      </c>
      <c r="AB677" s="0" t="str">
        <f aca="false">HYPERLINK("http://lutemusic.org/composers/Campion/songs/book_1/19_lighten_heavy_heart_thy_sprite/midi/lighten_heavy_heart.mid")</f>
        <v>http://lutemusic.org/composers/Campion/songs/book_1/19_lighten_heavy_heart_thy_sprite/midi/lighten_heavy_heart.mid</v>
      </c>
      <c r="AC677" s="0" t="n">
        <v>1573937409</v>
      </c>
      <c r="AD677" s="0" t="n">
        <v>1586042063</v>
      </c>
    </row>
    <row r="678" customFormat="false" ht="12.8" hidden="false" customHeight="false" outlineLevel="0" collapsed="false">
      <c r="A678" s="0" t="s">
        <v>1127</v>
      </c>
      <c r="C678" s="0" t="s">
        <v>1096</v>
      </c>
      <c r="E678" s="0" t="s">
        <v>1096</v>
      </c>
      <c r="F678" s="0" t="s">
        <v>614</v>
      </c>
      <c r="H678" s="0" t="n">
        <v>1613</v>
      </c>
      <c r="I678" s="0" t="s">
        <v>1128</v>
      </c>
      <c r="J678" s="0" t="s">
        <v>36</v>
      </c>
      <c r="K678" s="0" t="s">
        <v>36</v>
      </c>
      <c r="P678" s="0" t="s">
        <v>1127</v>
      </c>
      <c r="R678" s="0" t="s">
        <v>51</v>
      </c>
      <c r="S678" s="0" t="s">
        <v>84</v>
      </c>
      <c r="T678" s="0" t="n">
        <v>2</v>
      </c>
      <c r="U678" s="0" t="s">
        <v>1123</v>
      </c>
      <c r="V678" s="0" t="s">
        <v>1124</v>
      </c>
      <c r="Z678" s="0" t="str">
        <f aca="false">HYPERLINK("http://lutemusic.org/composers/Campion/songs/book_1/19_lighten_heavy_heart_thy_sprite/lighten_heavy_heart_3.ft3")</f>
        <v>http://lutemusic.org/composers/Campion/songs/book_1/19_lighten_heavy_heart_thy_sprite/lighten_heavy_heart_3.ft3</v>
      </c>
      <c r="AA678" s="0" t="str">
        <f aca="false">HYPERLINK("http://lutemusic.org/composers/Campion/songs/book_1/19_lighten_heavy_heart_thy_sprite/pdf/lighten_heavy_heart_3.pdf")</f>
        <v>http://lutemusic.org/composers/Campion/songs/book_1/19_lighten_heavy_heart_thy_sprite/pdf/lighten_heavy_heart_3.pdf</v>
      </c>
      <c r="AB678" s="0" t="str">
        <f aca="false">HYPERLINK("http://lutemusic.org/composers/Campion/songs/book_1/19_lighten_heavy_heart_thy_sprite/midi/lighten_heavy_heart_3.mid")</f>
        <v>http://lutemusic.org/composers/Campion/songs/book_1/19_lighten_heavy_heart_thy_sprite/midi/lighten_heavy_heart_3.mid</v>
      </c>
      <c r="AC678" s="0" t="n">
        <v>1573937409</v>
      </c>
      <c r="AD678" s="0" t="n">
        <v>1586042063</v>
      </c>
    </row>
    <row r="679" customFormat="false" ht="12.8" hidden="false" customHeight="false" outlineLevel="0" collapsed="false">
      <c r="A679" s="0" t="s">
        <v>1127</v>
      </c>
      <c r="C679" s="0" t="s">
        <v>1096</v>
      </c>
      <c r="E679" s="0" t="s">
        <v>1096</v>
      </c>
      <c r="F679" s="0" t="s">
        <v>614</v>
      </c>
      <c r="H679" s="0" t="n">
        <v>1613</v>
      </c>
      <c r="I679" s="0" t="s">
        <v>1128</v>
      </c>
      <c r="J679" s="0" t="s">
        <v>36</v>
      </c>
      <c r="K679" s="0" t="s">
        <v>36</v>
      </c>
      <c r="P679" s="0" t="s">
        <v>1127</v>
      </c>
      <c r="R679" s="0" t="s">
        <v>51</v>
      </c>
      <c r="S679" s="0" t="s">
        <v>84</v>
      </c>
      <c r="T679" s="0" t="n">
        <v>2</v>
      </c>
      <c r="U679" s="0" t="s">
        <v>1123</v>
      </c>
      <c r="V679" s="0" t="s">
        <v>40</v>
      </c>
      <c r="Z679" s="0" t="str">
        <f aca="false">HYPERLINK("http://lutemusic.org/composers/Campion/songs/book_1/19_lighten_heavy_heart_thy_sprite/lighten_heavy_heart_S.ft3")</f>
        <v>http://lutemusic.org/composers/Campion/songs/book_1/19_lighten_heavy_heart_thy_sprite/lighten_heavy_heart_S.ft3</v>
      </c>
      <c r="AA679" s="0" t="str">
        <f aca="false">HYPERLINK("http://lutemusic.org/composers/Campion/songs/book_1/19_lighten_heavy_heart_thy_sprite/pdf/lighten_heavy_heart_S.pdf")</f>
        <v>http://lutemusic.org/composers/Campion/songs/book_1/19_lighten_heavy_heart_thy_sprite/pdf/lighten_heavy_heart_S.pdf</v>
      </c>
      <c r="AB679" s="0" t="str">
        <f aca="false">HYPERLINK("http://lutemusic.org/composers/Campion/songs/book_1/19_lighten_heavy_heart_thy_sprite/midi/lighten_heavy_heart_S.mid")</f>
        <v>http://lutemusic.org/composers/Campion/songs/book_1/19_lighten_heavy_heart_thy_sprite/midi/lighten_heavy_heart_S.mid</v>
      </c>
      <c r="AC679" s="0" t="n">
        <v>1573937409</v>
      </c>
      <c r="AD679" s="0" t="n">
        <v>1586042063</v>
      </c>
    </row>
    <row r="680" customFormat="false" ht="12.8" hidden="false" customHeight="false" outlineLevel="0" collapsed="false">
      <c r="A680" s="0" t="s">
        <v>1127</v>
      </c>
      <c r="C680" s="0" t="s">
        <v>1096</v>
      </c>
      <c r="E680" s="0" t="s">
        <v>1096</v>
      </c>
      <c r="F680" s="0" t="s">
        <v>614</v>
      </c>
      <c r="H680" s="0" t="n">
        <v>1613</v>
      </c>
      <c r="I680" s="0" t="s">
        <v>1128</v>
      </c>
      <c r="J680" s="0" t="s">
        <v>36</v>
      </c>
      <c r="K680" s="0" t="s">
        <v>36</v>
      </c>
      <c r="P680" s="0" t="s">
        <v>1127</v>
      </c>
      <c r="R680" s="0" t="s">
        <v>51</v>
      </c>
      <c r="S680" s="0" t="s">
        <v>84</v>
      </c>
      <c r="T680" s="0" t="n">
        <v>2</v>
      </c>
      <c r="U680" s="0" t="s">
        <v>1123</v>
      </c>
      <c r="V680" s="0" t="s">
        <v>63</v>
      </c>
      <c r="Z680" s="0" t="str">
        <f aca="false">HYPERLINK("http://lutemusic.org/composers/Campion/songs/book_1/19_lighten_heavy_heart_thy_sprite/lighten_heavy_heart_T.ft3")</f>
        <v>http://lutemusic.org/composers/Campion/songs/book_1/19_lighten_heavy_heart_thy_sprite/lighten_heavy_heart_T.ft3</v>
      </c>
      <c r="AA680" s="0" t="str">
        <f aca="false">HYPERLINK("http://lutemusic.org/composers/Campion/songs/book_1/19_lighten_heavy_heart_thy_sprite/pdf/lighten_heavy_heart_T.pdf")</f>
        <v>http://lutemusic.org/composers/Campion/songs/book_1/19_lighten_heavy_heart_thy_sprite/pdf/lighten_heavy_heart_T.pdf</v>
      </c>
      <c r="AB680" s="0" t="str">
        <f aca="false">HYPERLINK("http://lutemusic.org/composers/Campion/songs/book_1/19_lighten_heavy_heart_thy_sprite/midi/lighten_heavy_heart_T.mid")</f>
        <v>http://lutemusic.org/composers/Campion/songs/book_1/19_lighten_heavy_heart_thy_sprite/midi/lighten_heavy_heart_T.mid</v>
      </c>
      <c r="AC680" s="0" t="n">
        <v>1573937409</v>
      </c>
      <c r="AD680" s="0" t="n">
        <v>1586042063</v>
      </c>
    </row>
    <row r="681" customFormat="false" ht="12.8" hidden="false" customHeight="false" outlineLevel="0" collapsed="false">
      <c r="A681" s="0" t="s">
        <v>1127</v>
      </c>
      <c r="C681" s="0" t="s">
        <v>1096</v>
      </c>
      <c r="E681" s="0" t="s">
        <v>1096</v>
      </c>
      <c r="F681" s="0" t="s">
        <v>614</v>
      </c>
      <c r="H681" s="0" t="n">
        <v>1613</v>
      </c>
      <c r="I681" s="0" t="s">
        <v>1128</v>
      </c>
      <c r="J681" s="0" t="s">
        <v>36</v>
      </c>
      <c r="K681" s="0" t="s">
        <v>36</v>
      </c>
      <c r="P681" s="0" t="s">
        <v>1127</v>
      </c>
      <c r="R681" s="0" t="s">
        <v>51</v>
      </c>
      <c r="S681" s="0" t="s">
        <v>84</v>
      </c>
      <c r="T681" s="0" t="n">
        <v>2</v>
      </c>
      <c r="U681" s="0" t="s">
        <v>1123</v>
      </c>
      <c r="V681" s="0" t="s">
        <v>1100</v>
      </c>
      <c r="Z681" s="0" t="str">
        <f aca="false">HYPERLINK("http://lutemusic.org/composers/Campion/songs/book_1/19_lighten_heavy_heart_thy_sprite/lighten_heavy_heart_VB.ft3")</f>
        <v>http://lutemusic.org/composers/Campion/songs/book_1/19_lighten_heavy_heart_thy_sprite/lighten_heavy_heart_VB.ft3</v>
      </c>
      <c r="AA681" s="0" t="str">
        <f aca="false">HYPERLINK("http://lutemusic.org/composers/Campion/songs/book_1/19_lighten_heavy_heart_thy_sprite/pdf/lighten_heavy_heart_VB.pdf")</f>
        <v>http://lutemusic.org/composers/Campion/songs/book_1/19_lighten_heavy_heart_thy_sprite/pdf/lighten_heavy_heart_VB.pdf</v>
      </c>
      <c r="AB681" s="0" t="str">
        <f aca="false">HYPERLINK("http://lutemusic.org/composers/Campion/songs/book_1/19_lighten_heavy_heart_thy_sprite/midi/lighten_heavy_heart_VB.mid")</f>
        <v>http://lutemusic.org/composers/Campion/songs/book_1/19_lighten_heavy_heart_thy_sprite/midi/lighten_heavy_heart_VB.mid</v>
      </c>
      <c r="AC681" s="0" t="n">
        <v>1573937409</v>
      </c>
      <c r="AD681" s="0" t="n">
        <v>1586042063</v>
      </c>
    </row>
    <row r="682" customFormat="false" ht="12.8" hidden="false" customHeight="false" outlineLevel="0" collapsed="false">
      <c r="A682" s="0" t="s">
        <v>1129</v>
      </c>
      <c r="C682" s="0" t="s">
        <v>1096</v>
      </c>
      <c r="E682" s="0" t="s">
        <v>1096</v>
      </c>
      <c r="F682" s="0" t="s">
        <v>614</v>
      </c>
      <c r="H682" s="0" t="n">
        <v>1613</v>
      </c>
      <c r="I682" s="0" t="s">
        <v>1130</v>
      </c>
      <c r="J682" s="0" t="s">
        <v>36</v>
      </c>
      <c r="K682" s="0" t="s">
        <v>36</v>
      </c>
      <c r="P682" s="0" t="s">
        <v>1129</v>
      </c>
      <c r="R682" s="0" t="s">
        <v>51</v>
      </c>
      <c r="S682" s="0" t="s">
        <v>84</v>
      </c>
      <c r="T682" s="0" t="n">
        <v>2</v>
      </c>
      <c r="U682" s="0" t="s">
        <v>1123</v>
      </c>
      <c r="V682" s="0" t="s">
        <v>990</v>
      </c>
      <c r="Z682" s="0" t="str">
        <f aca="false">HYPERLINK("http://lutemusic.org/composers/Campion/songs/book_1/20_jack_and_joan/jack_and_joan.ft3")</f>
        <v>http://lutemusic.org/composers/Campion/songs/book_1/20_jack_and_joan/jack_and_joan.ft3</v>
      </c>
      <c r="AA682" s="0" t="str">
        <f aca="false">HYPERLINK("http://lutemusic.org/composers/Campion/songs/book_1/20_jack_and_joan/pdf/jack_and_joan.pdf")</f>
        <v>http://lutemusic.org/composers/Campion/songs/book_1/20_jack_and_joan/pdf/jack_and_joan.pdf</v>
      </c>
      <c r="AB682" s="0" t="str">
        <f aca="false">HYPERLINK("http://lutemusic.org/composers/Campion/songs/book_1/20_jack_and_joan/midi/jack_and_joan.mid")</f>
        <v>http://lutemusic.org/composers/Campion/songs/book_1/20_jack_and_joan/midi/jack_and_joan.mid</v>
      </c>
      <c r="AC682" s="0" t="n">
        <v>1573937409</v>
      </c>
      <c r="AD682" s="0" t="n">
        <v>1586042063</v>
      </c>
    </row>
    <row r="683" customFormat="false" ht="12.8" hidden="false" customHeight="false" outlineLevel="0" collapsed="false">
      <c r="A683" s="0" t="s">
        <v>1129</v>
      </c>
      <c r="C683" s="0" t="s">
        <v>1096</v>
      </c>
      <c r="E683" s="0" t="s">
        <v>1096</v>
      </c>
      <c r="F683" s="0" t="s">
        <v>614</v>
      </c>
      <c r="H683" s="0" t="n">
        <v>1613</v>
      </c>
      <c r="I683" s="0" t="s">
        <v>1130</v>
      </c>
      <c r="J683" s="0" t="s">
        <v>36</v>
      </c>
      <c r="K683" s="0" t="s">
        <v>36</v>
      </c>
      <c r="P683" s="0" t="s">
        <v>1129</v>
      </c>
      <c r="R683" s="0" t="s">
        <v>51</v>
      </c>
      <c r="S683" s="0" t="s">
        <v>84</v>
      </c>
      <c r="T683" s="0" t="n">
        <v>2</v>
      </c>
      <c r="U683" s="0" t="s">
        <v>1123</v>
      </c>
      <c r="V683" s="0" t="s">
        <v>1124</v>
      </c>
      <c r="Z683" s="0" t="str">
        <f aca="false">HYPERLINK("http://lutemusic.org/composers/Campion/songs/book_1/20_jack_and_joan/jack_and_joan_3.ft3")</f>
        <v>http://lutemusic.org/composers/Campion/songs/book_1/20_jack_and_joan/jack_and_joan_3.ft3</v>
      </c>
      <c r="AA683" s="0" t="str">
        <f aca="false">HYPERLINK("http://lutemusic.org/composers/Campion/songs/book_1/20_jack_and_joan/pdf/jack_and_joan_3.pdf")</f>
        <v>http://lutemusic.org/composers/Campion/songs/book_1/20_jack_and_joan/pdf/jack_and_joan_3.pdf</v>
      </c>
      <c r="AB683" s="0" t="str">
        <f aca="false">HYPERLINK("http://lutemusic.org/composers/Campion/songs/book_1/20_jack_and_joan/midi/jack_and_joan_3.mid")</f>
        <v>http://lutemusic.org/composers/Campion/songs/book_1/20_jack_and_joan/midi/jack_and_joan_3.mid</v>
      </c>
      <c r="AC683" s="0" t="n">
        <v>1573937409</v>
      </c>
      <c r="AD683" s="0" t="n">
        <v>1586042063</v>
      </c>
    </row>
    <row r="684" customFormat="false" ht="12.8" hidden="false" customHeight="false" outlineLevel="0" collapsed="false">
      <c r="A684" s="0" t="s">
        <v>1129</v>
      </c>
      <c r="C684" s="0" t="s">
        <v>1096</v>
      </c>
      <c r="E684" s="0" t="s">
        <v>1096</v>
      </c>
      <c r="F684" s="0" t="s">
        <v>614</v>
      </c>
      <c r="H684" s="0" t="n">
        <v>1613</v>
      </c>
      <c r="I684" s="0" t="s">
        <v>1130</v>
      </c>
      <c r="J684" s="0" t="s">
        <v>36</v>
      </c>
      <c r="K684" s="0" t="s">
        <v>36</v>
      </c>
      <c r="P684" s="0" t="s">
        <v>1129</v>
      </c>
      <c r="R684" s="0" t="s">
        <v>51</v>
      </c>
      <c r="S684" s="0" t="s">
        <v>84</v>
      </c>
      <c r="T684" s="0" t="n">
        <v>2</v>
      </c>
      <c r="U684" s="0" t="s">
        <v>1123</v>
      </c>
      <c r="V684" s="0" t="s">
        <v>40</v>
      </c>
      <c r="Z684" s="0" t="str">
        <f aca="false">HYPERLINK("http://lutemusic.org/composers/Campion/songs/book_1/20_jack_and_joan/jack_and_joan_S.ft3")</f>
        <v>http://lutemusic.org/composers/Campion/songs/book_1/20_jack_and_joan/jack_and_joan_S.ft3</v>
      </c>
      <c r="AA684" s="0" t="str">
        <f aca="false">HYPERLINK("http://lutemusic.org/composers/Campion/songs/book_1/20_jack_and_joan/pdf/jack_and_joan_S.pdf")</f>
        <v>http://lutemusic.org/composers/Campion/songs/book_1/20_jack_and_joan/pdf/jack_and_joan_S.pdf</v>
      </c>
      <c r="AB684" s="0" t="str">
        <f aca="false">HYPERLINK("http://lutemusic.org/composers/Campion/songs/book_1/20_jack_and_joan/midi/jack_and_joan_S.mid")</f>
        <v>http://lutemusic.org/composers/Campion/songs/book_1/20_jack_and_joan/midi/jack_and_joan_S.mid</v>
      </c>
      <c r="AC684" s="0" t="n">
        <v>1573937409</v>
      </c>
      <c r="AD684" s="0" t="n">
        <v>1586042063</v>
      </c>
    </row>
    <row r="685" customFormat="false" ht="12.8" hidden="false" customHeight="false" outlineLevel="0" collapsed="false">
      <c r="A685" s="0" t="s">
        <v>1129</v>
      </c>
      <c r="C685" s="0" t="s">
        <v>1096</v>
      </c>
      <c r="E685" s="0" t="s">
        <v>1096</v>
      </c>
      <c r="F685" s="0" t="s">
        <v>614</v>
      </c>
      <c r="H685" s="0" t="n">
        <v>1613</v>
      </c>
      <c r="I685" s="0" t="s">
        <v>1130</v>
      </c>
      <c r="J685" s="0" t="s">
        <v>36</v>
      </c>
      <c r="K685" s="0" t="s">
        <v>36</v>
      </c>
      <c r="P685" s="0" t="s">
        <v>1129</v>
      </c>
      <c r="R685" s="0" t="s">
        <v>51</v>
      </c>
      <c r="S685" s="0" t="s">
        <v>84</v>
      </c>
      <c r="T685" s="0" t="n">
        <v>2</v>
      </c>
      <c r="U685" s="0" t="s">
        <v>1123</v>
      </c>
      <c r="V685" s="0" t="s">
        <v>63</v>
      </c>
      <c r="Z685" s="0" t="str">
        <f aca="false">HYPERLINK("http://lutemusic.org/composers/Campion/songs/book_1/20_jack_and_joan/jack_and_joan_T.ft3")</f>
        <v>http://lutemusic.org/composers/Campion/songs/book_1/20_jack_and_joan/jack_and_joan_T.ft3</v>
      </c>
      <c r="AA685" s="0" t="str">
        <f aca="false">HYPERLINK("http://lutemusic.org/composers/Campion/songs/book_1/20_jack_and_joan/pdf/jack_and_joan_T.pdf")</f>
        <v>http://lutemusic.org/composers/Campion/songs/book_1/20_jack_and_joan/pdf/jack_and_joan_T.pdf</v>
      </c>
      <c r="AB685" s="0" t="str">
        <f aca="false">HYPERLINK("http://lutemusic.org/composers/Campion/songs/book_1/20_jack_and_joan/midi/jack_and_joan_T.mid")</f>
        <v>http://lutemusic.org/composers/Campion/songs/book_1/20_jack_and_joan/midi/jack_and_joan_T.mid</v>
      </c>
      <c r="AC685" s="0" t="n">
        <v>1573937409</v>
      </c>
      <c r="AD685" s="0" t="n">
        <v>1586042063</v>
      </c>
    </row>
    <row r="686" customFormat="false" ht="12.8" hidden="false" customHeight="false" outlineLevel="0" collapsed="false">
      <c r="A686" s="0" t="s">
        <v>1129</v>
      </c>
      <c r="C686" s="0" t="s">
        <v>1096</v>
      </c>
      <c r="E686" s="0" t="s">
        <v>1096</v>
      </c>
      <c r="F686" s="0" t="s">
        <v>614</v>
      </c>
      <c r="H686" s="0" t="n">
        <v>1613</v>
      </c>
      <c r="I686" s="0" t="s">
        <v>1130</v>
      </c>
      <c r="J686" s="0" t="s">
        <v>36</v>
      </c>
      <c r="K686" s="0" t="s">
        <v>36</v>
      </c>
      <c r="P686" s="0" t="s">
        <v>1129</v>
      </c>
      <c r="R686" s="0" t="s">
        <v>51</v>
      </c>
      <c r="S686" s="0" t="s">
        <v>84</v>
      </c>
      <c r="T686" s="0" t="n">
        <v>2</v>
      </c>
      <c r="U686" s="0" t="s">
        <v>1123</v>
      </c>
      <c r="V686" s="0" t="s">
        <v>1100</v>
      </c>
      <c r="Z686" s="0" t="str">
        <f aca="false">HYPERLINK("http://lutemusic.org/composers/Campion/songs/book_1/20_jack_and_joan/jack_and_joan_VB.ft3")</f>
        <v>http://lutemusic.org/composers/Campion/songs/book_1/20_jack_and_joan/jack_and_joan_VB.ft3</v>
      </c>
      <c r="AA686" s="0" t="str">
        <f aca="false">HYPERLINK("http://lutemusic.org/composers/Campion/songs/book_1/20_jack_and_joan/pdf/jack_and_joan_VB.pdf")</f>
        <v>http://lutemusic.org/composers/Campion/songs/book_1/20_jack_and_joan/pdf/jack_and_joan_VB.pdf</v>
      </c>
      <c r="AB686" s="0" t="str">
        <f aca="false">HYPERLINK("http://lutemusic.org/composers/Campion/songs/book_1/20_jack_and_joan/midi/jack_and_joan_VB.mid")</f>
        <v>http://lutemusic.org/composers/Campion/songs/book_1/20_jack_and_joan/midi/jack_and_joan_VB.mid</v>
      </c>
      <c r="AC686" s="0" t="n">
        <v>1573937409</v>
      </c>
      <c r="AD686" s="0" t="n">
        <v>1586042063</v>
      </c>
    </row>
    <row r="687" customFormat="false" ht="12.8" hidden="false" customHeight="false" outlineLevel="0" collapsed="false">
      <c r="A687" s="0" t="s">
        <v>1131</v>
      </c>
      <c r="C687" s="0" t="s">
        <v>1096</v>
      </c>
      <c r="E687" s="0" t="s">
        <v>1096</v>
      </c>
      <c r="F687" s="0" t="s">
        <v>614</v>
      </c>
      <c r="H687" s="0" t="n">
        <v>1613</v>
      </c>
      <c r="I687" s="0" t="s">
        <v>1132</v>
      </c>
      <c r="J687" s="0" t="s">
        <v>36</v>
      </c>
      <c r="K687" s="0" t="s">
        <v>36</v>
      </c>
      <c r="P687" s="0" t="s">
        <v>1131</v>
      </c>
      <c r="R687" s="0" t="s">
        <v>51</v>
      </c>
      <c r="S687" s="0" t="s">
        <v>119</v>
      </c>
      <c r="T687" s="0" t="n">
        <v>2</v>
      </c>
      <c r="U687" s="0" t="s">
        <v>1123</v>
      </c>
      <c r="V687" s="0" t="s">
        <v>990</v>
      </c>
      <c r="Z687" s="0" t="str">
        <f aca="false">HYPERLINK("http://lutemusic.org/composers/Campion/songs/book_1/21_all_looks_be_pale/all_looks_be_pale.ft3")</f>
        <v>http://lutemusic.org/composers/Campion/songs/book_1/21_all_looks_be_pale/all_looks_be_pale.ft3</v>
      </c>
      <c r="AA687" s="0" t="str">
        <f aca="false">HYPERLINK("http://lutemusic.org/composers/Campion/songs/book_1/21_all_looks_be_pale/pdf/all_looks_be_pale.pdf")</f>
        <v>http://lutemusic.org/composers/Campion/songs/book_1/21_all_looks_be_pale/pdf/all_looks_be_pale.pdf</v>
      </c>
      <c r="AB687" s="0" t="str">
        <f aca="false">HYPERLINK("http://lutemusic.org/composers/Campion/songs/book_1/21_all_looks_be_pale/midi/all_looks_be_pale.mid")</f>
        <v>http://lutemusic.org/composers/Campion/songs/book_1/21_all_looks_be_pale/midi/all_looks_be_pale.mid</v>
      </c>
      <c r="AC687" s="0" t="n">
        <v>1573937409</v>
      </c>
      <c r="AD687" s="0" t="n">
        <v>1586042063</v>
      </c>
    </row>
    <row r="688" customFormat="false" ht="12.8" hidden="false" customHeight="false" outlineLevel="0" collapsed="false">
      <c r="A688" s="0" t="s">
        <v>1131</v>
      </c>
      <c r="C688" s="0" t="s">
        <v>1096</v>
      </c>
      <c r="E688" s="0" t="s">
        <v>1096</v>
      </c>
      <c r="F688" s="0" t="s">
        <v>614</v>
      </c>
      <c r="H688" s="0" t="n">
        <v>1613</v>
      </c>
      <c r="I688" s="0" t="s">
        <v>1132</v>
      </c>
      <c r="J688" s="0" t="s">
        <v>36</v>
      </c>
      <c r="K688" s="0" t="s">
        <v>36</v>
      </c>
      <c r="P688" s="0" t="s">
        <v>1131</v>
      </c>
      <c r="R688" s="0" t="s">
        <v>51</v>
      </c>
      <c r="S688" s="0" t="s">
        <v>119</v>
      </c>
      <c r="T688" s="0" t="n">
        <v>2</v>
      </c>
      <c r="U688" s="0" t="s">
        <v>1123</v>
      </c>
      <c r="V688" s="0" t="s">
        <v>40</v>
      </c>
      <c r="Z688" s="0" t="str">
        <f aca="false">HYPERLINK("http://lutemusic.org/composers/Campion/songs/book_1/21_all_looks_be_pale/all_looks_be_pale_S.ft3")</f>
        <v>http://lutemusic.org/composers/Campion/songs/book_1/21_all_looks_be_pale/all_looks_be_pale_S.ft3</v>
      </c>
      <c r="AA688" s="0" t="str">
        <f aca="false">HYPERLINK("http://lutemusic.org/composers/Campion/songs/book_1/21_all_looks_be_pale/pdf/all_looks_be_pale_S.pdf")</f>
        <v>http://lutemusic.org/composers/Campion/songs/book_1/21_all_looks_be_pale/pdf/all_looks_be_pale_S.pdf</v>
      </c>
      <c r="AB688" s="0" t="str">
        <f aca="false">HYPERLINK("http://lutemusic.org/composers/Campion/songs/book_1/21_all_looks_be_pale/midi/all_looks_be_pale_S.mid")</f>
        <v>http://lutemusic.org/composers/Campion/songs/book_1/21_all_looks_be_pale/midi/all_looks_be_pale_S.mid</v>
      </c>
      <c r="AC688" s="0" t="n">
        <v>1573937409</v>
      </c>
      <c r="AD688" s="0" t="n">
        <v>1586042063</v>
      </c>
    </row>
    <row r="689" customFormat="false" ht="12.8" hidden="false" customHeight="false" outlineLevel="0" collapsed="false">
      <c r="A689" s="0" t="s">
        <v>1131</v>
      </c>
      <c r="C689" s="0" t="s">
        <v>1096</v>
      </c>
      <c r="E689" s="0" t="s">
        <v>1096</v>
      </c>
      <c r="F689" s="0" t="s">
        <v>614</v>
      </c>
      <c r="H689" s="0" t="n">
        <v>1613</v>
      </c>
      <c r="I689" s="0" t="s">
        <v>1132</v>
      </c>
      <c r="J689" s="0" t="s">
        <v>36</v>
      </c>
      <c r="K689" s="0" t="s">
        <v>36</v>
      </c>
      <c r="P689" s="0" t="s">
        <v>1131</v>
      </c>
      <c r="R689" s="0" t="s">
        <v>51</v>
      </c>
      <c r="S689" s="0" t="s">
        <v>119</v>
      </c>
      <c r="T689" s="0" t="n">
        <v>2</v>
      </c>
      <c r="U689" s="0" t="s">
        <v>1123</v>
      </c>
      <c r="V689" s="0" t="s">
        <v>63</v>
      </c>
      <c r="Z689" s="0" t="str">
        <f aca="false">HYPERLINK("http://lutemusic.org/composers/Campion/songs/book_1/21_all_looks_be_pale/all_looks_be_pale_T.ft3")</f>
        <v>http://lutemusic.org/composers/Campion/songs/book_1/21_all_looks_be_pale/all_looks_be_pale_T.ft3</v>
      </c>
      <c r="AA689" s="0" t="str">
        <f aca="false">HYPERLINK("http://lutemusic.org/composers/Campion/songs/book_1/21_all_looks_be_pale/pdf/all_looks_be_pale_T.pdf")</f>
        <v>http://lutemusic.org/composers/Campion/songs/book_1/21_all_looks_be_pale/pdf/all_looks_be_pale_T.pdf</v>
      </c>
      <c r="AB689" s="0" t="str">
        <f aca="false">HYPERLINK("http://lutemusic.org/composers/Campion/songs/book_1/21_all_looks_be_pale/midi/all_looks_be_pale_T.mid")</f>
        <v>http://lutemusic.org/composers/Campion/songs/book_1/21_all_looks_be_pale/midi/all_looks_be_pale_T.mid</v>
      </c>
      <c r="AC689" s="0" t="n">
        <v>1573937409</v>
      </c>
      <c r="AD689" s="0" t="n">
        <v>1586042063</v>
      </c>
    </row>
    <row r="690" customFormat="false" ht="12.8" hidden="false" customHeight="false" outlineLevel="0" collapsed="false">
      <c r="A690" s="0" t="s">
        <v>1131</v>
      </c>
      <c r="C690" s="0" t="s">
        <v>1096</v>
      </c>
      <c r="E690" s="0" t="s">
        <v>1096</v>
      </c>
      <c r="F690" s="0" t="s">
        <v>614</v>
      </c>
      <c r="H690" s="0" t="n">
        <v>1613</v>
      </c>
      <c r="I690" s="0" t="s">
        <v>1132</v>
      </c>
      <c r="J690" s="0" t="s">
        <v>36</v>
      </c>
      <c r="K690" s="0" t="s">
        <v>36</v>
      </c>
      <c r="P690" s="0" t="s">
        <v>1131</v>
      </c>
      <c r="R690" s="0" t="s">
        <v>51</v>
      </c>
      <c r="S690" s="0" t="s">
        <v>119</v>
      </c>
      <c r="T690" s="0" t="n">
        <v>2</v>
      </c>
      <c r="U690" s="0" t="s">
        <v>1123</v>
      </c>
      <c r="V690" s="0" t="s">
        <v>1100</v>
      </c>
      <c r="Z690" s="0" t="str">
        <f aca="false">HYPERLINK("http://lutemusic.org/composers/Campion/songs/book_1/21_all_looks_be_pale/all_looks_be_pale_VB.ft3")</f>
        <v>http://lutemusic.org/composers/Campion/songs/book_1/21_all_looks_be_pale/all_looks_be_pale_VB.ft3</v>
      </c>
      <c r="AA690" s="0" t="str">
        <f aca="false">HYPERLINK("http://lutemusic.org/composers/Campion/songs/book_1/21_all_looks_be_pale/pdf/all_looks_be_pale_VB.pdf")</f>
        <v>http://lutemusic.org/composers/Campion/songs/book_1/21_all_looks_be_pale/pdf/all_looks_be_pale_VB.pdf</v>
      </c>
      <c r="AB690" s="0" t="str">
        <f aca="false">HYPERLINK("http://lutemusic.org/composers/Campion/songs/book_1/21_all_looks_be_pale/midi/all_looks_be_pale_VB.mid")</f>
        <v>http://lutemusic.org/composers/Campion/songs/book_1/21_all_looks_be_pale/midi/all_looks_be_pale_VB.mid</v>
      </c>
      <c r="AC690" s="0" t="n">
        <v>1573937409</v>
      </c>
      <c r="AD690" s="0" t="n">
        <v>1586042063</v>
      </c>
    </row>
    <row r="691" customFormat="false" ht="12.8" hidden="false" customHeight="false" outlineLevel="0" collapsed="false">
      <c r="A691" s="0" t="s">
        <v>1133</v>
      </c>
      <c r="C691" s="0" t="s">
        <v>1096</v>
      </c>
      <c r="E691" s="0" t="s">
        <v>1096</v>
      </c>
      <c r="F691" s="0" t="s">
        <v>1134</v>
      </c>
      <c r="H691" s="0" t="n">
        <v>1613</v>
      </c>
      <c r="I691" s="0" t="s">
        <v>1097</v>
      </c>
      <c r="J691" s="0" t="s">
        <v>36</v>
      </c>
      <c r="K691" s="0" t="s">
        <v>36</v>
      </c>
      <c r="P691" s="0" t="s">
        <v>1133</v>
      </c>
      <c r="R691" s="0" t="s">
        <v>51</v>
      </c>
      <c r="S691" s="0" t="s">
        <v>49</v>
      </c>
      <c r="T691" s="0" t="n">
        <v>3</v>
      </c>
      <c r="U691" s="0" t="s">
        <v>1123</v>
      </c>
      <c r="V691" s="0" t="s">
        <v>990</v>
      </c>
      <c r="Z691" s="0" t="str">
        <f aca="false">HYPERLINK("http://lutemusic.org/composers/Campion/songs/book_2/01_vain_men_whose_follies/vain_men_whose_follies.ft3")</f>
        <v>http://lutemusic.org/composers/Campion/songs/book_2/01_vain_men_whose_follies/vain_men_whose_follies.ft3</v>
      </c>
      <c r="AA691" s="0" t="str">
        <f aca="false">HYPERLINK("http://lutemusic.org/composers/Campion/songs/book_2/01_vain_men_whose_follies/pdf/vain_men_whose_follies.pdf")</f>
        <v>http://lutemusic.org/composers/Campion/songs/book_2/01_vain_men_whose_follies/pdf/vain_men_whose_follies.pdf</v>
      </c>
      <c r="AB691" s="0" t="str">
        <f aca="false">HYPERLINK("http://lutemusic.org/composers/Campion/songs/book_2/01_vain_men_whose_follies/midi/vain_men_whose_follies.mid")</f>
        <v>http://lutemusic.org/composers/Campion/songs/book_2/01_vain_men_whose_follies/midi/vain_men_whose_follies.mid</v>
      </c>
      <c r="AC691" s="0" t="n">
        <v>1573937409</v>
      </c>
      <c r="AD691" s="0" t="n">
        <v>1586042063</v>
      </c>
    </row>
    <row r="692" customFormat="false" ht="12.8" hidden="false" customHeight="false" outlineLevel="0" collapsed="false">
      <c r="A692" s="0" t="s">
        <v>1133</v>
      </c>
      <c r="C692" s="0" t="s">
        <v>1096</v>
      </c>
      <c r="E692" s="0" t="s">
        <v>1096</v>
      </c>
      <c r="F692" s="0" t="s">
        <v>1134</v>
      </c>
      <c r="H692" s="0" t="n">
        <v>1613</v>
      </c>
      <c r="I692" s="0" t="s">
        <v>1097</v>
      </c>
      <c r="J692" s="0" t="s">
        <v>36</v>
      </c>
      <c r="K692" s="0" t="s">
        <v>36</v>
      </c>
      <c r="P692" s="0" t="s">
        <v>1133</v>
      </c>
      <c r="R692" s="0" t="s">
        <v>51</v>
      </c>
      <c r="S692" s="0" t="s">
        <v>49</v>
      </c>
      <c r="T692" s="0" t="n">
        <v>3</v>
      </c>
      <c r="U692" s="0" t="s">
        <v>1123</v>
      </c>
      <c r="V692" s="0" t="s">
        <v>1124</v>
      </c>
      <c r="Z692" s="0" t="str">
        <f aca="false">HYPERLINK("http://lutemusic.org/composers/Campion/songs/book_2/01_vain_men_whose_follies/vain_men_whose_follies_3.ft3")</f>
        <v>http://lutemusic.org/composers/Campion/songs/book_2/01_vain_men_whose_follies/vain_men_whose_follies_3.ft3</v>
      </c>
      <c r="AA692" s="0" t="str">
        <f aca="false">HYPERLINK("http://lutemusic.org/composers/Campion/songs/book_2/01_vain_men_whose_follies/pdf/vain_men_whose_follies_3.pdf")</f>
        <v>http://lutemusic.org/composers/Campion/songs/book_2/01_vain_men_whose_follies/pdf/vain_men_whose_follies_3.pdf</v>
      </c>
      <c r="AB692" s="0" t="str">
        <f aca="false">HYPERLINK("http://lutemusic.org/composers/Campion/songs/book_2/01_vain_men_whose_follies/midi/vain_men_whose_follies_3.mid")</f>
        <v>http://lutemusic.org/composers/Campion/songs/book_2/01_vain_men_whose_follies/midi/vain_men_whose_follies_3.mid</v>
      </c>
      <c r="AC692" s="0" t="n">
        <v>1573937409</v>
      </c>
      <c r="AD692" s="0" t="n">
        <v>1586042063</v>
      </c>
    </row>
    <row r="693" customFormat="false" ht="12.8" hidden="false" customHeight="false" outlineLevel="0" collapsed="false">
      <c r="A693" s="0" t="s">
        <v>1133</v>
      </c>
      <c r="C693" s="0" t="s">
        <v>1096</v>
      </c>
      <c r="E693" s="0" t="s">
        <v>1096</v>
      </c>
      <c r="F693" s="0" t="s">
        <v>1134</v>
      </c>
      <c r="H693" s="0" t="n">
        <v>1613</v>
      </c>
      <c r="I693" s="0" t="s">
        <v>1097</v>
      </c>
      <c r="J693" s="0" t="s">
        <v>36</v>
      </c>
      <c r="K693" s="0" t="s">
        <v>36</v>
      </c>
      <c r="P693" s="0" t="s">
        <v>1133</v>
      </c>
      <c r="R693" s="0" t="s">
        <v>51</v>
      </c>
      <c r="S693" s="0" t="s">
        <v>49</v>
      </c>
      <c r="T693" s="0" t="n">
        <v>3</v>
      </c>
      <c r="U693" s="0" t="s">
        <v>1123</v>
      </c>
      <c r="V693" s="0" t="s">
        <v>40</v>
      </c>
      <c r="Z693" s="0" t="str">
        <f aca="false">HYPERLINK("http://lutemusic.org/composers/Campion/songs/book_2/01_vain_men_whose_follies/vain_men_whose_follies_S.ft3")</f>
        <v>http://lutemusic.org/composers/Campion/songs/book_2/01_vain_men_whose_follies/vain_men_whose_follies_S.ft3</v>
      </c>
      <c r="AA693" s="0" t="str">
        <f aca="false">HYPERLINK("http://lutemusic.org/composers/Campion/songs/book_2/01_vain_men_whose_follies/pdf/vain_men_whose_follies_S.pdf")</f>
        <v>http://lutemusic.org/composers/Campion/songs/book_2/01_vain_men_whose_follies/pdf/vain_men_whose_follies_S.pdf</v>
      </c>
      <c r="AB693" s="0" t="str">
        <f aca="false">HYPERLINK("http://lutemusic.org/composers/Campion/songs/book_2/01_vain_men_whose_follies/midi/vain_men_whose_follies_S.mid")</f>
        <v>http://lutemusic.org/composers/Campion/songs/book_2/01_vain_men_whose_follies/midi/vain_men_whose_follies_S.mid</v>
      </c>
      <c r="AC693" s="0" t="n">
        <v>1573937409</v>
      </c>
      <c r="AD693" s="0" t="n">
        <v>1586042063</v>
      </c>
    </row>
    <row r="694" customFormat="false" ht="12.8" hidden="false" customHeight="false" outlineLevel="0" collapsed="false">
      <c r="A694" s="0" t="s">
        <v>1133</v>
      </c>
      <c r="C694" s="0" t="s">
        <v>1096</v>
      </c>
      <c r="E694" s="0" t="s">
        <v>1096</v>
      </c>
      <c r="F694" s="0" t="s">
        <v>1134</v>
      </c>
      <c r="H694" s="0" t="n">
        <v>1613</v>
      </c>
      <c r="I694" s="0" t="s">
        <v>1097</v>
      </c>
      <c r="J694" s="0" t="s">
        <v>36</v>
      </c>
      <c r="K694" s="0" t="s">
        <v>36</v>
      </c>
      <c r="P694" s="0" t="s">
        <v>1133</v>
      </c>
      <c r="R694" s="0" t="s">
        <v>51</v>
      </c>
      <c r="S694" s="0" t="s">
        <v>49</v>
      </c>
      <c r="T694" s="0" t="n">
        <v>3</v>
      </c>
      <c r="U694" s="0" t="s">
        <v>1123</v>
      </c>
      <c r="V694" s="0" t="s">
        <v>63</v>
      </c>
      <c r="Z694" s="0" t="str">
        <f aca="false">HYPERLINK("http://lutemusic.org/composers/Campion/songs/book_2/01_vain_men_whose_follies/vain_men_whose_follies_T.ft3")</f>
        <v>http://lutemusic.org/composers/Campion/songs/book_2/01_vain_men_whose_follies/vain_men_whose_follies_T.ft3</v>
      </c>
      <c r="AA694" s="0" t="str">
        <f aca="false">HYPERLINK("http://lutemusic.org/composers/Campion/songs/book_2/01_vain_men_whose_follies/pdf/vain_men_whose_follies_T.pdf")</f>
        <v>http://lutemusic.org/composers/Campion/songs/book_2/01_vain_men_whose_follies/pdf/vain_men_whose_follies_T.pdf</v>
      </c>
      <c r="AB694" s="0" t="str">
        <f aca="false">HYPERLINK("http://lutemusic.org/composers/Campion/songs/book_2/01_vain_men_whose_follies/midi/vain_men_whose_follies_T.mid")</f>
        <v>http://lutemusic.org/composers/Campion/songs/book_2/01_vain_men_whose_follies/midi/vain_men_whose_follies_T.mid</v>
      </c>
      <c r="AC694" s="0" t="n">
        <v>1573937409</v>
      </c>
      <c r="AD694" s="0" t="n">
        <v>1586042063</v>
      </c>
    </row>
    <row r="695" customFormat="false" ht="12.8" hidden="false" customHeight="false" outlineLevel="0" collapsed="false">
      <c r="A695" s="0" t="s">
        <v>1133</v>
      </c>
      <c r="C695" s="0" t="s">
        <v>1096</v>
      </c>
      <c r="E695" s="0" t="s">
        <v>1096</v>
      </c>
      <c r="F695" s="0" t="s">
        <v>1134</v>
      </c>
      <c r="H695" s="0" t="n">
        <v>1613</v>
      </c>
      <c r="I695" s="0" t="s">
        <v>1097</v>
      </c>
      <c r="J695" s="0" t="s">
        <v>36</v>
      </c>
      <c r="K695" s="0" t="s">
        <v>36</v>
      </c>
      <c r="P695" s="0" t="s">
        <v>1133</v>
      </c>
      <c r="R695" s="0" t="s">
        <v>51</v>
      </c>
      <c r="S695" s="0" t="s">
        <v>49</v>
      </c>
      <c r="T695" s="0" t="n">
        <v>3</v>
      </c>
      <c r="U695" s="0" t="s">
        <v>1123</v>
      </c>
      <c r="V695" s="0" t="s">
        <v>1100</v>
      </c>
      <c r="Z695" s="0" t="str">
        <f aca="false">HYPERLINK("http://lutemusic.org/composers/Campion/songs/book_2/01_vain_men_whose_follies/vain_men_whose_follies_VB.ft3")</f>
        <v>http://lutemusic.org/composers/Campion/songs/book_2/01_vain_men_whose_follies/vain_men_whose_follies_VB.ft3</v>
      </c>
      <c r="AA695" s="0" t="str">
        <f aca="false">HYPERLINK("http://lutemusic.org/composers/Campion/songs/book_2/01_vain_men_whose_follies/pdf/vain_men_whose_follies_VB.pdf")</f>
        <v>http://lutemusic.org/composers/Campion/songs/book_2/01_vain_men_whose_follies/pdf/vain_men_whose_follies_VB.pdf</v>
      </c>
      <c r="AB695" s="0" t="str">
        <f aca="false">HYPERLINK("http://lutemusic.org/composers/Campion/songs/book_2/01_vain_men_whose_follies/midi/vain_men_whose_follies_VB.mid")</f>
        <v>http://lutemusic.org/composers/Campion/songs/book_2/01_vain_men_whose_follies/midi/vain_men_whose_follies_VB.mid</v>
      </c>
      <c r="AC695" s="0" t="n">
        <v>1573937409</v>
      </c>
      <c r="AD695" s="0" t="n">
        <v>1586042063</v>
      </c>
    </row>
    <row r="696" customFormat="false" ht="12.8" hidden="false" customHeight="false" outlineLevel="0" collapsed="false">
      <c r="A696" s="0" t="s">
        <v>1135</v>
      </c>
      <c r="C696" s="0" t="s">
        <v>1096</v>
      </c>
      <c r="E696" s="0" t="s">
        <v>1096</v>
      </c>
      <c r="F696" s="0" t="s">
        <v>1134</v>
      </c>
      <c r="H696" s="0" t="n">
        <v>1613</v>
      </c>
      <c r="I696" s="0" t="s">
        <v>866</v>
      </c>
      <c r="J696" s="0" t="s">
        <v>36</v>
      </c>
      <c r="K696" s="0" t="s">
        <v>36</v>
      </c>
      <c r="P696" s="0" t="s">
        <v>1135</v>
      </c>
      <c r="R696" s="0" t="s">
        <v>51</v>
      </c>
      <c r="S696" s="0" t="s">
        <v>66</v>
      </c>
      <c r="T696" s="0" t="n">
        <v>2</v>
      </c>
      <c r="U696" s="0" t="s">
        <v>1136</v>
      </c>
      <c r="V696" s="0" t="s">
        <v>990</v>
      </c>
      <c r="Z696" s="0" t="str">
        <f aca="false">HYPERLINK("http://lutemusic.org/composers/Campion/songs/book_2/02_how_easily_wert_thou_chained/02_how_easly_wert_thou_chained.ft3")</f>
        <v>http://lutemusic.org/composers/Campion/songs/book_2/02_how_easily_wert_thou_chained/02_how_easly_wert_thou_chained.ft3</v>
      </c>
      <c r="AA696" s="0" t="str">
        <f aca="false">HYPERLINK("http://lutemusic.org/composers/Campion/songs/book_2/02_how_easily_wert_thou_chained/pdf/02_how_easly_wert_thou_chained.pdf")</f>
        <v>http://lutemusic.org/composers/Campion/songs/book_2/02_how_easily_wert_thou_chained/pdf/02_how_easly_wert_thou_chained.pdf</v>
      </c>
      <c r="AB696" s="0" t="str">
        <f aca="false">HYPERLINK("http://lutemusic.org/composers/Campion/songs/book_2/02_how_easily_wert_thou_chained/midi/02_how_easly_wert_thou_chained.mid")</f>
        <v>http://lutemusic.org/composers/Campion/songs/book_2/02_how_easily_wert_thou_chained/midi/02_how_easly_wert_thou_chained.mid</v>
      </c>
      <c r="AC696" s="0" t="n">
        <v>1573937409</v>
      </c>
      <c r="AD696" s="0" t="n">
        <v>1586042063</v>
      </c>
    </row>
    <row r="697" customFormat="false" ht="12.8" hidden="false" customHeight="false" outlineLevel="0" collapsed="false">
      <c r="A697" s="0" t="s">
        <v>1135</v>
      </c>
      <c r="C697" s="0" t="s">
        <v>1096</v>
      </c>
      <c r="E697" s="0" t="s">
        <v>1096</v>
      </c>
      <c r="F697" s="0" t="s">
        <v>1134</v>
      </c>
      <c r="H697" s="0" t="n">
        <v>1613</v>
      </c>
      <c r="I697" s="0" t="s">
        <v>866</v>
      </c>
      <c r="J697" s="0" t="s">
        <v>36</v>
      </c>
      <c r="K697" s="0" t="s">
        <v>36</v>
      </c>
      <c r="P697" s="0" t="s">
        <v>1135</v>
      </c>
      <c r="R697" s="0" t="s">
        <v>51</v>
      </c>
      <c r="S697" s="0" t="s">
        <v>66</v>
      </c>
      <c r="T697" s="0" t="n">
        <v>2</v>
      </c>
      <c r="U697" s="0" t="s">
        <v>1136</v>
      </c>
      <c r="V697" s="0" t="s">
        <v>1137</v>
      </c>
      <c r="Z697" s="0" t="str">
        <f aca="false">HYPERLINK("http://lutemusic.org/composers/Campion/songs/book_2/02_how_easily_wert_thou_chained/02_how_easly_wert_thou_chained_3.ft3")</f>
        <v>http://lutemusic.org/composers/Campion/songs/book_2/02_how_easily_wert_thou_chained/02_how_easly_wert_thou_chained_3.ft3</v>
      </c>
      <c r="AA697" s="0" t="str">
        <f aca="false">HYPERLINK("http://lutemusic.org/composers/Campion/songs/book_2/02_how_easily_wert_thou_chained/pdf/02_how_easly_wert_thou_chained_3.pdf")</f>
        <v>http://lutemusic.org/composers/Campion/songs/book_2/02_how_easily_wert_thou_chained/pdf/02_how_easly_wert_thou_chained_3.pdf</v>
      </c>
      <c r="AB697" s="0" t="str">
        <f aca="false">HYPERLINK("http://lutemusic.org/composers/Campion/songs/book_2/02_how_easily_wert_thou_chained/midi/02_how_easly_wert_thou_chained_3.mid")</f>
        <v>http://lutemusic.org/composers/Campion/songs/book_2/02_how_easily_wert_thou_chained/midi/02_how_easly_wert_thou_chained_3.mid</v>
      </c>
      <c r="AC697" s="0" t="n">
        <v>1573937409</v>
      </c>
      <c r="AD697" s="0" t="n">
        <v>1586042063</v>
      </c>
    </row>
    <row r="698" customFormat="false" ht="12.8" hidden="false" customHeight="false" outlineLevel="0" collapsed="false">
      <c r="A698" s="0" t="s">
        <v>1135</v>
      </c>
      <c r="C698" s="0" t="s">
        <v>1096</v>
      </c>
      <c r="E698" s="0" t="s">
        <v>1096</v>
      </c>
      <c r="F698" s="0" t="s">
        <v>1134</v>
      </c>
      <c r="H698" s="0" t="n">
        <v>1613</v>
      </c>
      <c r="I698" s="0" t="s">
        <v>866</v>
      </c>
      <c r="J698" s="0" t="s">
        <v>36</v>
      </c>
      <c r="K698" s="0" t="s">
        <v>36</v>
      </c>
      <c r="P698" s="0" t="s">
        <v>1135</v>
      </c>
      <c r="R698" s="0" t="s">
        <v>51</v>
      </c>
      <c r="S698" s="0" t="s">
        <v>66</v>
      </c>
      <c r="T698" s="0" t="n">
        <v>2</v>
      </c>
      <c r="U698" s="0" t="s">
        <v>1136</v>
      </c>
      <c r="V698" s="0" t="s">
        <v>40</v>
      </c>
      <c r="Z698" s="0" t="str">
        <f aca="false">HYPERLINK("http://lutemusic.org/composers/Campion/songs/book_2/02_how_easily_wert_thou_chained/02_how_easly_wert_thou_chained_S.ft3")</f>
        <v>http://lutemusic.org/composers/Campion/songs/book_2/02_how_easily_wert_thou_chained/02_how_easly_wert_thou_chained_S.ft3</v>
      </c>
      <c r="AA698" s="0" t="str">
        <f aca="false">HYPERLINK("http://lutemusic.org/composers/Campion/songs/book_2/02_how_easily_wert_thou_chained/pdf/02_how_easly_wert_thou_chained_S.pdf")</f>
        <v>http://lutemusic.org/composers/Campion/songs/book_2/02_how_easily_wert_thou_chained/pdf/02_how_easly_wert_thou_chained_S.pdf</v>
      </c>
      <c r="AB698" s="0" t="str">
        <f aca="false">HYPERLINK("http://lutemusic.org/composers/Campion/songs/book_2/02_how_easily_wert_thou_chained/midi/02_how_easly_wert_thou_chained_S.mid")</f>
        <v>http://lutemusic.org/composers/Campion/songs/book_2/02_how_easily_wert_thou_chained/midi/02_how_easly_wert_thou_chained_S.mid</v>
      </c>
      <c r="AC698" s="0" t="n">
        <v>1573937409</v>
      </c>
      <c r="AD698" s="0" t="n">
        <v>1586042063</v>
      </c>
    </row>
    <row r="699" customFormat="false" ht="12.8" hidden="false" customHeight="false" outlineLevel="0" collapsed="false">
      <c r="A699" s="0" t="s">
        <v>1135</v>
      </c>
      <c r="C699" s="0" t="s">
        <v>1096</v>
      </c>
      <c r="E699" s="0" t="s">
        <v>1096</v>
      </c>
      <c r="F699" s="0" t="s">
        <v>1134</v>
      </c>
      <c r="H699" s="0" t="n">
        <v>1613</v>
      </c>
      <c r="I699" s="0" t="s">
        <v>866</v>
      </c>
      <c r="J699" s="0" t="s">
        <v>36</v>
      </c>
      <c r="K699" s="0" t="s">
        <v>36</v>
      </c>
      <c r="P699" s="0" t="s">
        <v>1135</v>
      </c>
      <c r="R699" s="0" t="s">
        <v>51</v>
      </c>
      <c r="S699" s="0" t="s">
        <v>66</v>
      </c>
      <c r="T699" s="0" t="n">
        <v>2</v>
      </c>
      <c r="U699" s="0" t="s">
        <v>1136</v>
      </c>
      <c r="V699" s="0" t="s">
        <v>63</v>
      </c>
      <c r="Z699" s="0" t="str">
        <f aca="false">HYPERLINK("http://lutemusic.org/composers/Campion/songs/book_2/02_how_easily_wert_thou_chained/02_how_easly_wert_thou_chained_T.ft3")</f>
        <v>http://lutemusic.org/composers/Campion/songs/book_2/02_how_easily_wert_thou_chained/02_how_easly_wert_thou_chained_T.ft3</v>
      </c>
      <c r="AA699" s="0" t="str">
        <f aca="false">HYPERLINK("http://lutemusic.org/composers/Campion/songs/book_2/02_how_easily_wert_thou_chained/pdf/02_how_easly_wert_thou_chained_T.pdf")</f>
        <v>http://lutemusic.org/composers/Campion/songs/book_2/02_how_easily_wert_thou_chained/pdf/02_how_easly_wert_thou_chained_T.pdf</v>
      </c>
      <c r="AB699" s="0" t="str">
        <f aca="false">HYPERLINK("http://lutemusic.org/composers/Campion/songs/book_2/02_how_easily_wert_thou_chained/midi/02_how_easly_wert_thou_chained_T.mid")</f>
        <v>http://lutemusic.org/composers/Campion/songs/book_2/02_how_easily_wert_thou_chained/midi/02_how_easly_wert_thou_chained_T.mid</v>
      </c>
      <c r="AC699" s="0" t="n">
        <v>1573937409</v>
      </c>
      <c r="AD699" s="0" t="n">
        <v>1586042063</v>
      </c>
    </row>
    <row r="700" customFormat="false" ht="12.8" hidden="false" customHeight="false" outlineLevel="0" collapsed="false">
      <c r="A700" s="0" t="s">
        <v>1135</v>
      </c>
      <c r="C700" s="0" t="s">
        <v>1096</v>
      </c>
      <c r="E700" s="0" t="s">
        <v>1096</v>
      </c>
      <c r="F700" s="0" t="s">
        <v>1134</v>
      </c>
      <c r="H700" s="0" t="n">
        <v>1613</v>
      </c>
      <c r="I700" s="0" t="s">
        <v>866</v>
      </c>
      <c r="J700" s="0" t="s">
        <v>36</v>
      </c>
      <c r="K700" s="0" t="s">
        <v>36</v>
      </c>
      <c r="P700" s="0" t="s">
        <v>1135</v>
      </c>
      <c r="R700" s="0" t="s">
        <v>51</v>
      </c>
      <c r="S700" s="0" t="s">
        <v>66</v>
      </c>
      <c r="T700" s="0" t="n">
        <v>2</v>
      </c>
      <c r="U700" s="0" t="s">
        <v>1136</v>
      </c>
      <c r="V700" s="0" t="s">
        <v>1100</v>
      </c>
      <c r="Z700" s="0" t="str">
        <f aca="false">HYPERLINK("http://lutemusic.org/composers/Campion/songs/book_2/02_how_easily_wert_thou_chained/02_how_easly_wert_thou_chained_VB.ft3")</f>
        <v>http://lutemusic.org/composers/Campion/songs/book_2/02_how_easily_wert_thou_chained/02_how_easly_wert_thou_chained_VB.ft3</v>
      </c>
      <c r="AA700" s="0" t="str">
        <f aca="false">HYPERLINK("http://lutemusic.org/composers/Campion/songs/book_2/02_how_easily_wert_thou_chained/pdf/02_how_easly_wert_thou_chained_VB.pdf")</f>
        <v>http://lutemusic.org/composers/Campion/songs/book_2/02_how_easily_wert_thou_chained/pdf/02_how_easly_wert_thou_chained_VB.pdf</v>
      </c>
      <c r="AB700" s="0" t="str">
        <f aca="false">HYPERLINK("http://lutemusic.org/composers/Campion/songs/book_2/02_how_easily_wert_thou_chained/midi/02_how_easly_wert_thou_chained_VB.mid")</f>
        <v>http://lutemusic.org/composers/Campion/songs/book_2/02_how_easily_wert_thou_chained/midi/02_how_easly_wert_thou_chained_VB.mid</v>
      </c>
      <c r="AC700" s="0" t="n">
        <v>1573937409</v>
      </c>
      <c r="AD700" s="0" t="n">
        <v>1586042063</v>
      </c>
    </row>
    <row r="701" customFormat="false" ht="12.8" hidden="false" customHeight="false" outlineLevel="0" collapsed="false">
      <c r="A701" s="0" t="s">
        <v>1138</v>
      </c>
      <c r="C701" s="0" t="s">
        <v>1096</v>
      </c>
      <c r="E701" s="0" t="s">
        <v>1096</v>
      </c>
      <c r="F701" s="0" t="s">
        <v>1134</v>
      </c>
      <c r="H701" s="0" t="n">
        <v>1613</v>
      </c>
      <c r="I701" s="0" t="s">
        <v>1103</v>
      </c>
      <c r="J701" s="0" t="s">
        <v>36</v>
      </c>
      <c r="K701" s="0" t="s">
        <v>36</v>
      </c>
      <c r="P701" s="0" t="s">
        <v>1138</v>
      </c>
      <c r="R701" s="0" t="s">
        <v>51</v>
      </c>
      <c r="S701" s="0" t="s">
        <v>66</v>
      </c>
      <c r="T701" s="0" t="n">
        <v>2</v>
      </c>
      <c r="U701" s="0" t="s">
        <v>1123</v>
      </c>
      <c r="V701" s="0" t="s">
        <v>990</v>
      </c>
      <c r="Z701" s="0" t="str">
        <f aca="false">HYPERLINK("http://lutemusic.org/composers/Campion/songs/book_2/03_harden_now_thy_tired_heart/03_harden_now_thy_tired_heart.ft3")</f>
        <v>http://lutemusic.org/composers/Campion/songs/book_2/03_harden_now_thy_tired_heart/03_harden_now_thy_tired_heart.ft3</v>
      </c>
      <c r="AA701" s="0" t="str">
        <f aca="false">HYPERLINK("http://lutemusic.org/composers/Campion/songs/book_2/03_harden_now_thy_tired_heart/pdf/03_harden_now_thy_tired_heart.pdf")</f>
        <v>http://lutemusic.org/composers/Campion/songs/book_2/03_harden_now_thy_tired_heart/pdf/03_harden_now_thy_tired_heart.pdf</v>
      </c>
      <c r="AB701" s="0" t="str">
        <f aca="false">HYPERLINK("http://lutemusic.org/composers/Campion/songs/book_2/03_harden_now_thy_tired_heart/midi/03_harden_now_thy_tired_heart.mid")</f>
        <v>http://lutemusic.org/composers/Campion/songs/book_2/03_harden_now_thy_tired_heart/midi/03_harden_now_thy_tired_heart.mid</v>
      </c>
      <c r="AC701" s="0" t="n">
        <v>1573937409</v>
      </c>
      <c r="AD701" s="0" t="n">
        <v>1586042063</v>
      </c>
    </row>
    <row r="702" customFormat="false" ht="12.8" hidden="false" customHeight="false" outlineLevel="0" collapsed="false">
      <c r="A702" s="0" t="s">
        <v>1138</v>
      </c>
      <c r="C702" s="0" t="s">
        <v>1096</v>
      </c>
      <c r="E702" s="0" t="s">
        <v>1096</v>
      </c>
      <c r="F702" s="0" t="s">
        <v>1134</v>
      </c>
      <c r="H702" s="0" t="n">
        <v>1613</v>
      </c>
      <c r="I702" s="0" t="s">
        <v>1103</v>
      </c>
      <c r="J702" s="0" t="s">
        <v>36</v>
      </c>
      <c r="K702" s="0" t="s">
        <v>36</v>
      </c>
      <c r="P702" s="0" t="s">
        <v>1138</v>
      </c>
      <c r="R702" s="0" t="s">
        <v>51</v>
      </c>
      <c r="S702" s="0" t="s">
        <v>66</v>
      </c>
      <c r="T702" s="0" t="n">
        <v>2</v>
      </c>
      <c r="U702" s="0" t="s">
        <v>1123</v>
      </c>
      <c r="V702" s="0" t="s">
        <v>1124</v>
      </c>
      <c r="Z702" s="0" t="str">
        <f aca="false">HYPERLINK("http://lutemusic.org/composers/Campion/songs/book_2/03_harden_now_thy_tired_heart/03_harden_now_thy_tired_heart_3.ft3")</f>
        <v>http://lutemusic.org/composers/Campion/songs/book_2/03_harden_now_thy_tired_heart/03_harden_now_thy_tired_heart_3.ft3</v>
      </c>
      <c r="AA702" s="0" t="str">
        <f aca="false">HYPERLINK("http://lutemusic.org/composers/Campion/songs/book_2/03_harden_now_thy_tired_heart/pdf/03_harden_now_thy_tired_heart_3.pdf")</f>
        <v>http://lutemusic.org/composers/Campion/songs/book_2/03_harden_now_thy_tired_heart/pdf/03_harden_now_thy_tired_heart_3.pdf</v>
      </c>
      <c r="AB702" s="0" t="str">
        <f aca="false">HYPERLINK("http://lutemusic.org/composers/Campion/songs/book_2/03_harden_now_thy_tired_heart/midi/03_harden_now_thy_tired_heart_3.mid")</f>
        <v>http://lutemusic.org/composers/Campion/songs/book_2/03_harden_now_thy_tired_heart/midi/03_harden_now_thy_tired_heart_3.mid</v>
      </c>
      <c r="AC702" s="0" t="n">
        <v>1573937409</v>
      </c>
      <c r="AD702" s="0" t="n">
        <v>1586042063</v>
      </c>
    </row>
    <row r="703" customFormat="false" ht="12.8" hidden="false" customHeight="false" outlineLevel="0" collapsed="false">
      <c r="A703" s="0" t="s">
        <v>1138</v>
      </c>
      <c r="C703" s="0" t="s">
        <v>1096</v>
      </c>
      <c r="E703" s="0" t="s">
        <v>1096</v>
      </c>
      <c r="F703" s="0" t="s">
        <v>1134</v>
      </c>
      <c r="H703" s="0" t="n">
        <v>1613</v>
      </c>
      <c r="I703" s="0" t="s">
        <v>1103</v>
      </c>
      <c r="J703" s="0" t="s">
        <v>36</v>
      </c>
      <c r="K703" s="0" t="s">
        <v>36</v>
      </c>
      <c r="P703" s="0" t="s">
        <v>1138</v>
      </c>
      <c r="R703" s="0" t="s">
        <v>51</v>
      </c>
      <c r="S703" s="0" t="s">
        <v>119</v>
      </c>
      <c r="T703" s="0" t="n">
        <v>3</v>
      </c>
      <c r="U703" s="0" t="s">
        <v>1123</v>
      </c>
      <c r="V703" s="0" t="s">
        <v>40</v>
      </c>
      <c r="Z703" s="0" t="str">
        <f aca="false">HYPERLINK("http://lutemusic.org/composers/Campion/songs/book_2/03_harden_now_thy_tired_heart/03_harden_now_thy_tired_heart_S.ft3")</f>
        <v>http://lutemusic.org/composers/Campion/songs/book_2/03_harden_now_thy_tired_heart/03_harden_now_thy_tired_heart_S.ft3</v>
      </c>
      <c r="AA703" s="0" t="str">
        <f aca="false">HYPERLINK("http://lutemusic.org/composers/Campion/songs/book_2/03_harden_now_thy_tired_heart/pdf/03_harden_now_thy_tired_heart_S.pdf")</f>
        <v>http://lutemusic.org/composers/Campion/songs/book_2/03_harden_now_thy_tired_heart/pdf/03_harden_now_thy_tired_heart_S.pdf</v>
      </c>
      <c r="AB703" s="0" t="str">
        <f aca="false">HYPERLINK("http://lutemusic.org/composers/Campion/songs/book_2/03_harden_now_thy_tired_heart/midi/03_harden_now_thy_tired_heart_S.mid")</f>
        <v>http://lutemusic.org/composers/Campion/songs/book_2/03_harden_now_thy_tired_heart/midi/03_harden_now_thy_tired_heart_S.mid</v>
      </c>
      <c r="AC703" s="0" t="n">
        <v>1573937409</v>
      </c>
      <c r="AD703" s="0" t="n">
        <v>1586042063</v>
      </c>
    </row>
    <row r="704" customFormat="false" ht="12.8" hidden="false" customHeight="false" outlineLevel="0" collapsed="false">
      <c r="A704" s="0" t="s">
        <v>1138</v>
      </c>
      <c r="C704" s="0" t="s">
        <v>1096</v>
      </c>
      <c r="E704" s="0" t="s">
        <v>1096</v>
      </c>
      <c r="F704" s="0" t="s">
        <v>1134</v>
      </c>
      <c r="H704" s="0" t="n">
        <v>1613</v>
      </c>
      <c r="I704" s="0" t="s">
        <v>1103</v>
      </c>
      <c r="J704" s="0" t="s">
        <v>36</v>
      </c>
      <c r="K704" s="0" t="s">
        <v>36</v>
      </c>
      <c r="P704" s="0" t="s">
        <v>1138</v>
      </c>
      <c r="R704" s="0" t="s">
        <v>51</v>
      </c>
      <c r="S704" s="0" t="s">
        <v>66</v>
      </c>
      <c r="T704" s="0" t="n">
        <v>2</v>
      </c>
      <c r="U704" s="0" t="s">
        <v>1123</v>
      </c>
      <c r="V704" s="0" t="s">
        <v>63</v>
      </c>
      <c r="Z704" s="0" t="str">
        <f aca="false">HYPERLINK("http://lutemusic.org/composers/Campion/songs/book_2/03_harden_now_thy_tired_heart/03_harden_now_thy_tired_heart_T.ft3")</f>
        <v>http://lutemusic.org/composers/Campion/songs/book_2/03_harden_now_thy_tired_heart/03_harden_now_thy_tired_heart_T.ft3</v>
      </c>
      <c r="AA704" s="0" t="str">
        <f aca="false">HYPERLINK("http://lutemusic.org/composers/Campion/songs/book_2/03_harden_now_thy_tired_heart/pdf/03_harden_now_thy_tired_heart_T.pdf")</f>
        <v>http://lutemusic.org/composers/Campion/songs/book_2/03_harden_now_thy_tired_heart/pdf/03_harden_now_thy_tired_heart_T.pdf</v>
      </c>
      <c r="AB704" s="0" t="str">
        <f aca="false">HYPERLINK("http://lutemusic.org/composers/Campion/songs/book_2/03_harden_now_thy_tired_heart/midi/03_harden_now_thy_tired_heart_T.mid")</f>
        <v>http://lutemusic.org/composers/Campion/songs/book_2/03_harden_now_thy_tired_heart/midi/03_harden_now_thy_tired_heart_T.mid</v>
      </c>
      <c r="AC704" s="0" t="n">
        <v>1573937409</v>
      </c>
      <c r="AD704" s="0" t="n">
        <v>1586042063</v>
      </c>
    </row>
    <row r="705" customFormat="false" ht="12.8" hidden="false" customHeight="false" outlineLevel="0" collapsed="false">
      <c r="A705" s="0" t="s">
        <v>1138</v>
      </c>
      <c r="C705" s="0" t="s">
        <v>1096</v>
      </c>
      <c r="E705" s="0" t="s">
        <v>1096</v>
      </c>
      <c r="F705" s="0" t="s">
        <v>1134</v>
      </c>
      <c r="H705" s="0" t="n">
        <v>1613</v>
      </c>
      <c r="I705" s="0" t="s">
        <v>1103</v>
      </c>
      <c r="J705" s="0" t="s">
        <v>36</v>
      </c>
      <c r="K705" s="0" t="s">
        <v>36</v>
      </c>
      <c r="P705" s="0" t="s">
        <v>1138</v>
      </c>
      <c r="R705" s="0" t="s">
        <v>51</v>
      </c>
      <c r="S705" s="0" t="s">
        <v>66</v>
      </c>
      <c r="T705" s="0" t="n">
        <v>2</v>
      </c>
      <c r="U705" s="0" t="s">
        <v>1123</v>
      </c>
      <c r="V705" s="0" t="s">
        <v>1100</v>
      </c>
      <c r="Z705" s="0" t="str">
        <f aca="false">HYPERLINK("http://lutemusic.org/composers/Campion/songs/book_2/03_harden_now_thy_tired_heart/03_harden_now_thy_tired_heart_VB.ft3")</f>
        <v>http://lutemusic.org/composers/Campion/songs/book_2/03_harden_now_thy_tired_heart/03_harden_now_thy_tired_heart_VB.ft3</v>
      </c>
      <c r="AA705" s="0" t="str">
        <f aca="false">HYPERLINK("http://lutemusic.org/composers/Campion/songs/book_2/03_harden_now_thy_tired_heart/pdf/03_harden_now_thy_tired_heart_VB.pdf")</f>
        <v>http://lutemusic.org/composers/Campion/songs/book_2/03_harden_now_thy_tired_heart/pdf/03_harden_now_thy_tired_heart_VB.pdf</v>
      </c>
      <c r="AB705" s="0" t="str">
        <f aca="false">HYPERLINK("http://lutemusic.org/composers/Campion/songs/book_2/03_harden_now_thy_tired_heart/midi/03_harden_now_thy_tired_heart_VB.mid")</f>
        <v>http://lutemusic.org/composers/Campion/songs/book_2/03_harden_now_thy_tired_heart/midi/03_harden_now_thy_tired_heart_VB.mid</v>
      </c>
      <c r="AC705" s="0" t="n">
        <v>1573937409</v>
      </c>
      <c r="AD705" s="0" t="n">
        <v>1586042064</v>
      </c>
    </row>
    <row r="706" customFormat="false" ht="12.8" hidden="false" customHeight="false" outlineLevel="0" collapsed="false">
      <c r="A706" s="0" t="s">
        <v>1139</v>
      </c>
      <c r="C706" s="0" t="s">
        <v>1096</v>
      </c>
      <c r="E706" s="0" t="s">
        <v>1096</v>
      </c>
      <c r="F706" s="0" t="s">
        <v>1134</v>
      </c>
      <c r="H706" s="0" t="n">
        <v>1613</v>
      </c>
      <c r="I706" s="0" t="s">
        <v>636</v>
      </c>
      <c r="J706" s="0" t="s">
        <v>36</v>
      </c>
      <c r="K706" s="0" t="s">
        <v>36</v>
      </c>
      <c r="P706" s="0" t="s">
        <v>1139</v>
      </c>
      <c r="R706" s="0" t="s">
        <v>51</v>
      </c>
      <c r="S706" s="0" t="s">
        <v>175</v>
      </c>
      <c r="T706" s="0" t="n">
        <v>3</v>
      </c>
      <c r="U706" s="0" t="s">
        <v>1123</v>
      </c>
      <c r="V706" s="0" t="s">
        <v>990</v>
      </c>
      <c r="Z706" s="0" t="str">
        <f aca="false">HYPERLINK("http://lutemusic.org/composers/Campion/songs/book_2/04_o_what_unhoped-for_sweet_supply/o_what_unhoped_for_sweet_supply.ft3")</f>
        <v>http://lutemusic.org/composers/Campion/songs/book_2/04_o_what_unhoped-for_sweet_supply/o_what_unhoped_for_sweet_supply.ft3</v>
      </c>
      <c r="AA706" s="0" t="str">
        <f aca="false">HYPERLINK("http://lutemusic.org/composers/Campion/songs/book_2/04_o_what_unhoped-for_sweet_supply/pdf/o_what_unhoped_for_sweet_supply.pdf")</f>
        <v>http://lutemusic.org/composers/Campion/songs/book_2/04_o_what_unhoped-for_sweet_supply/pdf/o_what_unhoped_for_sweet_supply.pdf</v>
      </c>
      <c r="AB706" s="0" t="str">
        <f aca="false">HYPERLINK("http://lutemusic.org/composers/Campion/songs/book_2/04_o_what_unhoped-for_sweet_supply/midi/o_what_unhoped_for_sweet_supply.mid")</f>
        <v>http://lutemusic.org/composers/Campion/songs/book_2/04_o_what_unhoped-for_sweet_supply/midi/o_what_unhoped_for_sweet_supply.mid</v>
      </c>
      <c r="AC706" s="0" t="n">
        <v>1573937409</v>
      </c>
      <c r="AD706" s="0" t="n">
        <v>1586042064</v>
      </c>
    </row>
    <row r="707" customFormat="false" ht="12.8" hidden="false" customHeight="false" outlineLevel="0" collapsed="false">
      <c r="A707" s="0" t="s">
        <v>1139</v>
      </c>
      <c r="C707" s="0" t="s">
        <v>1096</v>
      </c>
      <c r="E707" s="0" t="s">
        <v>1096</v>
      </c>
      <c r="F707" s="0" t="s">
        <v>1134</v>
      </c>
      <c r="H707" s="0" t="n">
        <v>1613</v>
      </c>
      <c r="I707" s="0" t="s">
        <v>636</v>
      </c>
      <c r="J707" s="0" t="s">
        <v>36</v>
      </c>
      <c r="K707" s="0" t="s">
        <v>36</v>
      </c>
      <c r="P707" s="0" t="s">
        <v>1139</v>
      </c>
      <c r="R707" s="0" t="s">
        <v>51</v>
      </c>
      <c r="S707" s="0" t="s">
        <v>175</v>
      </c>
      <c r="T707" s="0" t="n">
        <v>3</v>
      </c>
      <c r="U707" s="0" t="s">
        <v>1123</v>
      </c>
      <c r="V707" s="0" t="s">
        <v>1124</v>
      </c>
      <c r="Z707" s="0" t="str">
        <f aca="false">HYPERLINK("http://lutemusic.org/composers/Campion/songs/book_2/04_o_what_unhoped-for_sweet_supply/o_what_unhoped_for_sweet_supply_3.ft3")</f>
        <v>http://lutemusic.org/composers/Campion/songs/book_2/04_o_what_unhoped-for_sweet_supply/o_what_unhoped_for_sweet_supply_3.ft3</v>
      </c>
      <c r="AA707" s="0" t="str">
        <f aca="false">HYPERLINK("http://lutemusic.org/composers/Campion/songs/book_2/04_o_what_unhoped-for_sweet_supply/pdf/o_what_unhoped_for_sweet_supply_3.pdf")</f>
        <v>http://lutemusic.org/composers/Campion/songs/book_2/04_o_what_unhoped-for_sweet_supply/pdf/o_what_unhoped_for_sweet_supply_3.pdf</v>
      </c>
      <c r="AB707" s="0" t="str">
        <f aca="false">HYPERLINK("http://lutemusic.org/composers/Campion/songs/book_2/04_o_what_unhoped-for_sweet_supply/midi/o_what_unhoped_for_sweet_supply_3.mid")</f>
        <v>http://lutemusic.org/composers/Campion/songs/book_2/04_o_what_unhoped-for_sweet_supply/midi/o_what_unhoped_for_sweet_supply_3.mid</v>
      </c>
      <c r="AC707" s="0" t="n">
        <v>1573937409</v>
      </c>
      <c r="AD707" s="0" t="n">
        <v>1586042064</v>
      </c>
    </row>
    <row r="708" customFormat="false" ht="12.8" hidden="false" customHeight="false" outlineLevel="0" collapsed="false">
      <c r="A708" s="0" t="s">
        <v>1139</v>
      </c>
      <c r="C708" s="0" t="s">
        <v>1096</v>
      </c>
      <c r="E708" s="0" t="s">
        <v>1096</v>
      </c>
      <c r="F708" s="0" t="s">
        <v>1134</v>
      </c>
      <c r="H708" s="0" t="n">
        <v>1613</v>
      </c>
      <c r="I708" s="0" t="s">
        <v>636</v>
      </c>
      <c r="J708" s="0" t="s">
        <v>36</v>
      </c>
      <c r="K708" s="0" t="s">
        <v>36</v>
      </c>
      <c r="P708" s="0" t="s">
        <v>1139</v>
      </c>
      <c r="R708" s="0" t="s">
        <v>51</v>
      </c>
      <c r="S708" s="0" t="s">
        <v>175</v>
      </c>
      <c r="T708" s="0" t="n">
        <v>3</v>
      </c>
      <c r="U708" s="0" t="s">
        <v>1123</v>
      </c>
      <c r="V708" s="0" t="s">
        <v>40</v>
      </c>
      <c r="Z708" s="0" t="str">
        <f aca="false">HYPERLINK("http://lutemusic.org/composers/Campion/songs/book_2/04_o_what_unhoped-for_sweet_supply/o_what_unhoped_for_sweet_supply_S.ft3")</f>
        <v>http://lutemusic.org/composers/Campion/songs/book_2/04_o_what_unhoped-for_sweet_supply/o_what_unhoped_for_sweet_supply_S.ft3</v>
      </c>
      <c r="AA708" s="0" t="str">
        <f aca="false">HYPERLINK("http://lutemusic.org/composers/Campion/songs/book_2/04_o_what_unhoped-for_sweet_supply/pdf/o_what_unhoped_for_sweet_supply_S.pdf")</f>
        <v>http://lutemusic.org/composers/Campion/songs/book_2/04_o_what_unhoped-for_sweet_supply/pdf/o_what_unhoped_for_sweet_supply_S.pdf</v>
      </c>
      <c r="AB708" s="0" t="str">
        <f aca="false">HYPERLINK("http://lutemusic.org/composers/Campion/songs/book_2/04_o_what_unhoped-for_sweet_supply/midi/o_what_unhoped_for_sweet_supply_S.mid")</f>
        <v>http://lutemusic.org/composers/Campion/songs/book_2/04_o_what_unhoped-for_sweet_supply/midi/o_what_unhoped_for_sweet_supply_S.mid</v>
      </c>
      <c r="AC708" s="0" t="n">
        <v>1573937409</v>
      </c>
      <c r="AD708" s="0" t="n">
        <v>1586042064</v>
      </c>
    </row>
    <row r="709" customFormat="false" ht="12.8" hidden="false" customHeight="false" outlineLevel="0" collapsed="false">
      <c r="A709" s="0" t="s">
        <v>1139</v>
      </c>
      <c r="C709" s="0" t="s">
        <v>1096</v>
      </c>
      <c r="E709" s="0" t="s">
        <v>1096</v>
      </c>
      <c r="F709" s="0" t="s">
        <v>1134</v>
      </c>
      <c r="H709" s="0" t="n">
        <v>1613</v>
      </c>
      <c r="I709" s="0" t="s">
        <v>636</v>
      </c>
      <c r="J709" s="0" t="s">
        <v>36</v>
      </c>
      <c r="K709" s="0" t="s">
        <v>36</v>
      </c>
      <c r="P709" s="0" t="s">
        <v>1139</v>
      </c>
      <c r="R709" s="0" t="s">
        <v>51</v>
      </c>
      <c r="S709" s="0" t="s">
        <v>175</v>
      </c>
      <c r="T709" s="0" t="n">
        <v>3</v>
      </c>
      <c r="U709" s="0" t="s">
        <v>1123</v>
      </c>
      <c r="V709" s="0" t="s">
        <v>63</v>
      </c>
      <c r="Z709" s="0" t="str">
        <f aca="false">HYPERLINK("http://lutemusic.org/composers/Campion/songs/book_2/04_o_what_unhoped-for_sweet_supply/o_what_unhoped_for_sweet_supply_T.ft3")</f>
        <v>http://lutemusic.org/composers/Campion/songs/book_2/04_o_what_unhoped-for_sweet_supply/o_what_unhoped_for_sweet_supply_T.ft3</v>
      </c>
      <c r="AA709" s="0" t="str">
        <f aca="false">HYPERLINK("http://lutemusic.org/composers/Campion/songs/book_2/04_o_what_unhoped-for_sweet_supply/pdf/o_what_unhoped_for_sweet_supply_T.pdf")</f>
        <v>http://lutemusic.org/composers/Campion/songs/book_2/04_o_what_unhoped-for_sweet_supply/pdf/o_what_unhoped_for_sweet_supply_T.pdf</v>
      </c>
      <c r="AB709" s="0" t="str">
        <f aca="false">HYPERLINK("http://lutemusic.org/composers/Campion/songs/book_2/04_o_what_unhoped-for_sweet_supply/midi/o_what_unhoped_for_sweet_supply_T.mid")</f>
        <v>http://lutemusic.org/composers/Campion/songs/book_2/04_o_what_unhoped-for_sweet_supply/midi/o_what_unhoped_for_sweet_supply_T.mid</v>
      </c>
      <c r="AC709" s="0" t="n">
        <v>1573937409</v>
      </c>
      <c r="AD709" s="0" t="n">
        <v>1586042064</v>
      </c>
    </row>
    <row r="710" customFormat="false" ht="12.8" hidden="false" customHeight="false" outlineLevel="0" collapsed="false">
      <c r="A710" s="0" t="s">
        <v>1139</v>
      </c>
      <c r="C710" s="0" t="s">
        <v>1096</v>
      </c>
      <c r="E710" s="0" t="s">
        <v>1096</v>
      </c>
      <c r="F710" s="0" t="s">
        <v>1134</v>
      </c>
      <c r="H710" s="0" t="n">
        <v>1613</v>
      </c>
      <c r="I710" s="0" t="s">
        <v>636</v>
      </c>
      <c r="J710" s="0" t="s">
        <v>36</v>
      </c>
      <c r="K710" s="0" t="s">
        <v>36</v>
      </c>
      <c r="P710" s="0" t="s">
        <v>1139</v>
      </c>
      <c r="R710" s="0" t="s">
        <v>51</v>
      </c>
      <c r="S710" s="0" t="s">
        <v>175</v>
      </c>
      <c r="T710" s="0" t="n">
        <v>3</v>
      </c>
      <c r="U710" s="0" t="s">
        <v>1123</v>
      </c>
      <c r="V710" s="0" t="s">
        <v>1100</v>
      </c>
      <c r="Z710" s="0" t="str">
        <f aca="false">HYPERLINK("http://lutemusic.org/composers/Campion/songs/book_2/04_o_what_unhoped-for_sweet_supply/o_what_unhoped_for_sweet_supply_VB.ft3")</f>
        <v>http://lutemusic.org/composers/Campion/songs/book_2/04_o_what_unhoped-for_sweet_supply/o_what_unhoped_for_sweet_supply_VB.ft3</v>
      </c>
      <c r="AA710" s="0" t="str">
        <f aca="false">HYPERLINK("http://lutemusic.org/composers/Campion/songs/book_2/04_o_what_unhoped-for_sweet_supply/pdf/o_what_unhoped_for_sweet_supply_VB.pdf")</f>
        <v>http://lutemusic.org/composers/Campion/songs/book_2/04_o_what_unhoped-for_sweet_supply/pdf/o_what_unhoped_for_sweet_supply_VB.pdf</v>
      </c>
      <c r="AB710" s="0" t="str">
        <f aca="false">HYPERLINK("http://lutemusic.org/composers/Campion/songs/book_2/04_o_what_unhoped-for_sweet_supply/midi/o_what_unhoped_for_sweet_supply_VB.mid")</f>
        <v>http://lutemusic.org/composers/Campion/songs/book_2/04_o_what_unhoped-for_sweet_supply/midi/o_what_unhoped_for_sweet_supply_VB.mid</v>
      </c>
      <c r="AC710" s="0" t="n">
        <v>1573937409</v>
      </c>
      <c r="AD710" s="0" t="n">
        <v>1586042064</v>
      </c>
    </row>
    <row r="711" customFormat="false" ht="12.8" hidden="false" customHeight="false" outlineLevel="0" collapsed="false">
      <c r="A711" s="0" t="s">
        <v>1140</v>
      </c>
      <c r="C711" s="0" t="s">
        <v>1096</v>
      </c>
      <c r="E711" s="0" t="s">
        <v>1096</v>
      </c>
      <c r="F711" s="0" t="s">
        <v>1134</v>
      </c>
      <c r="H711" s="0" t="n">
        <v>1613</v>
      </c>
      <c r="I711" s="0" t="s">
        <v>639</v>
      </c>
      <c r="J711" s="0" t="s">
        <v>36</v>
      </c>
      <c r="K711" s="0" t="s">
        <v>36</v>
      </c>
      <c r="P711" s="0" t="s">
        <v>1140</v>
      </c>
      <c r="R711" s="0" t="s">
        <v>51</v>
      </c>
      <c r="S711" s="0" t="s">
        <v>84</v>
      </c>
      <c r="T711" s="0" t="n">
        <v>3</v>
      </c>
      <c r="U711" s="0" t="s">
        <v>1123</v>
      </c>
      <c r="V711" s="0" t="s">
        <v>990</v>
      </c>
      <c r="Z711" s="0" t="str">
        <f aca="false">HYPERLINK("http://lutemusic.org/composers/Campion/songs/book_2/05_where_she_her_sacred_bowers_adornes/where_she_her_sacred_bower_adorns.ft3")</f>
        <v>http://lutemusic.org/composers/Campion/songs/book_2/05_where_she_her_sacred_bowers_adornes/where_she_her_sacred_bower_adorns.ft3</v>
      </c>
      <c r="AA711" s="0" t="str">
        <f aca="false">HYPERLINK("http://lutemusic.org/composers/Campion/songs/book_2/05_where_she_her_sacred_bowers_adornes/pdf/where_she_her_sacred_bower_adorns.pdf")</f>
        <v>http://lutemusic.org/composers/Campion/songs/book_2/05_where_she_her_sacred_bowers_adornes/pdf/where_she_her_sacred_bower_adorns.pdf</v>
      </c>
      <c r="AB711" s="0" t="str">
        <f aca="false">HYPERLINK("http://lutemusic.org/composers/Campion/songs/book_2/05_where_she_her_sacred_bowers_adornes/midi/where_she_her_sacred_bower_adorns.mid")</f>
        <v>http://lutemusic.org/composers/Campion/songs/book_2/05_where_she_her_sacred_bowers_adornes/midi/where_she_her_sacred_bower_adorns.mid</v>
      </c>
      <c r="AC711" s="0" t="n">
        <v>1573937409</v>
      </c>
      <c r="AD711" s="0" t="n">
        <v>1586042064</v>
      </c>
    </row>
    <row r="712" customFormat="false" ht="12.8" hidden="false" customHeight="false" outlineLevel="0" collapsed="false">
      <c r="A712" s="0" t="s">
        <v>1140</v>
      </c>
      <c r="C712" s="0" t="s">
        <v>1096</v>
      </c>
      <c r="E712" s="0" t="s">
        <v>1096</v>
      </c>
      <c r="F712" s="0" t="s">
        <v>1134</v>
      </c>
      <c r="H712" s="0" t="n">
        <v>1613</v>
      </c>
      <c r="I712" s="0" t="s">
        <v>639</v>
      </c>
      <c r="J712" s="0" t="s">
        <v>36</v>
      </c>
      <c r="K712" s="0" t="s">
        <v>36</v>
      </c>
      <c r="P712" s="0" t="s">
        <v>1140</v>
      </c>
      <c r="R712" s="0" t="s">
        <v>51</v>
      </c>
      <c r="S712" s="0" t="s">
        <v>84</v>
      </c>
      <c r="T712" s="0" t="n">
        <v>3</v>
      </c>
      <c r="U712" s="0" t="s">
        <v>1123</v>
      </c>
      <c r="V712" s="0" t="s">
        <v>1124</v>
      </c>
      <c r="Z712" s="0" t="str">
        <f aca="false">HYPERLINK("http://lutemusic.org/composers/Campion/songs/book_2/05_where_she_her_sacred_bowers_adornes/where_she_her_sacred_bower_adorns_3.ft3")</f>
        <v>http://lutemusic.org/composers/Campion/songs/book_2/05_where_she_her_sacred_bowers_adornes/where_she_her_sacred_bower_adorns_3.ft3</v>
      </c>
      <c r="AA712" s="0" t="str">
        <f aca="false">HYPERLINK("http://lutemusic.org/composers/Campion/songs/book_2/05_where_she_her_sacred_bowers_adornes/pdf/where_she_her_sacred_bower_adorns_3.pdf")</f>
        <v>http://lutemusic.org/composers/Campion/songs/book_2/05_where_she_her_sacred_bowers_adornes/pdf/where_she_her_sacred_bower_adorns_3.pdf</v>
      </c>
      <c r="AB712" s="0" t="str">
        <f aca="false">HYPERLINK("http://lutemusic.org/composers/Campion/songs/book_2/05_where_she_her_sacred_bowers_adornes/midi/where_she_her_sacred_bower_adorns_3.mid")</f>
        <v>http://lutemusic.org/composers/Campion/songs/book_2/05_where_she_her_sacred_bowers_adornes/midi/where_she_her_sacred_bower_adorns_3.mid</v>
      </c>
      <c r="AC712" s="0" t="n">
        <v>1573937409</v>
      </c>
      <c r="AD712" s="0" t="n">
        <v>1586042064</v>
      </c>
    </row>
    <row r="713" customFormat="false" ht="12.8" hidden="false" customHeight="false" outlineLevel="0" collapsed="false">
      <c r="A713" s="0" t="s">
        <v>1140</v>
      </c>
      <c r="C713" s="0" t="s">
        <v>1096</v>
      </c>
      <c r="E713" s="0" t="s">
        <v>1096</v>
      </c>
      <c r="F713" s="0" t="s">
        <v>1134</v>
      </c>
      <c r="H713" s="0" t="n">
        <v>1613</v>
      </c>
      <c r="I713" s="0" t="s">
        <v>639</v>
      </c>
      <c r="J713" s="0" t="s">
        <v>36</v>
      </c>
      <c r="K713" s="0" t="s">
        <v>36</v>
      </c>
      <c r="P713" s="0" t="s">
        <v>1140</v>
      </c>
      <c r="R713" s="0" t="s">
        <v>51</v>
      </c>
      <c r="S713" s="0" t="s">
        <v>84</v>
      </c>
      <c r="T713" s="0" t="n">
        <v>3</v>
      </c>
      <c r="U713" s="0" t="s">
        <v>1123</v>
      </c>
      <c r="V713" s="0" t="s">
        <v>40</v>
      </c>
      <c r="Z713" s="0" t="str">
        <f aca="false">HYPERLINK("http://lutemusic.org/composers/Campion/songs/book_2/05_where_she_her_sacred_bowers_adornes/where_she_her_sacred_bower_adorns_S.ft3")</f>
        <v>http://lutemusic.org/composers/Campion/songs/book_2/05_where_she_her_sacred_bowers_adornes/where_she_her_sacred_bower_adorns_S.ft3</v>
      </c>
      <c r="AA713" s="0" t="str">
        <f aca="false">HYPERLINK("http://lutemusic.org/composers/Campion/songs/book_2/05_where_she_her_sacred_bowers_adornes/pdf/where_she_her_sacred_bower_adorns_S.pdf")</f>
        <v>http://lutemusic.org/composers/Campion/songs/book_2/05_where_she_her_sacred_bowers_adornes/pdf/where_she_her_sacred_bower_adorns_S.pdf</v>
      </c>
      <c r="AB713" s="0" t="str">
        <f aca="false">HYPERLINK("http://lutemusic.org/composers/Campion/songs/book_2/05_where_she_her_sacred_bowers_adornes/midi/where_she_her_sacred_bower_adorns_S.mid")</f>
        <v>http://lutemusic.org/composers/Campion/songs/book_2/05_where_she_her_sacred_bowers_adornes/midi/where_she_her_sacred_bower_adorns_S.mid</v>
      </c>
      <c r="AC713" s="0" t="n">
        <v>1573937409</v>
      </c>
      <c r="AD713" s="0" t="n">
        <v>1586042064</v>
      </c>
    </row>
    <row r="714" customFormat="false" ht="12.8" hidden="false" customHeight="false" outlineLevel="0" collapsed="false">
      <c r="A714" s="0" t="s">
        <v>1140</v>
      </c>
      <c r="C714" s="0" t="s">
        <v>1096</v>
      </c>
      <c r="E714" s="0" t="s">
        <v>1096</v>
      </c>
      <c r="F714" s="0" t="s">
        <v>1134</v>
      </c>
      <c r="H714" s="0" t="n">
        <v>1613</v>
      </c>
      <c r="I714" s="0" t="s">
        <v>639</v>
      </c>
      <c r="J714" s="0" t="s">
        <v>36</v>
      </c>
      <c r="K714" s="0" t="s">
        <v>36</v>
      </c>
      <c r="P714" s="0" t="s">
        <v>1140</v>
      </c>
      <c r="R714" s="0" t="s">
        <v>51</v>
      </c>
      <c r="S714" s="0" t="s">
        <v>84</v>
      </c>
      <c r="T714" s="0" t="n">
        <v>3</v>
      </c>
      <c r="U714" s="0" t="s">
        <v>1123</v>
      </c>
      <c r="V714" s="0" t="s">
        <v>63</v>
      </c>
      <c r="Z714" s="0" t="str">
        <f aca="false">HYPERLINK("http://lutemusic.org/composers/Campion/songs/book_2/05_where_she_her_sacred_bowers_adornes/where_she_her_sacred_bower_adorns_T.ft3")</f>
        <v>http://lutemusic.org/composers/Campion/songs/book_2/05_where_she_her_sacred_bowers_adornes/where_she_her_sacred_bower_adorns_T.ft3</v>
      </c>
      <c r="AA714" s="0" t="str">
        <f aca="false">HYPERLINK("http://lutemusic.org/composers/Campion/songs/book_2/05_where_she_her_sacred_bowers_adornes/pdf/where_she_her_sacred_bower_adorns_T.pdf")</f>
        <v>http://lutemusic.org/composers/Campion/songs/book_2/05_where_she_her_sacred_bowers_adornes/pdf/where_she_her_sacred_bower_adorns_T.pdf</v>
      </c>
      <c r="AB714" s="0" t="str">
        <f aca="false">HYPERLINK("http://lutemusic.org/composers/Campion/songs/book_2/05_where_she_her_sacred_bowers_adornes/midi/where_she_her_sacred_bower_adorns_T.mid")</f>
        <v>http://lutemusic.org/composers/Campion/songs/book_2/05_where_she_her_sacred_bowers_adornes/midi/where_she_her_sacred_bower_adorns_T.mid</v>
      </c>
      <c r="AC714" s="0" t="n">
        <v>1573937409</v>
      </c>
      <c r="AD714" s="0" t="n">
        <v>1586042064</v>
      </c>
    </row>
    <row r="715" customFormat="false" ht="12.8" hidden="false" customHeight="false" outlineLevel="0" collapsed="false">
      <c r="A715" s="0" t="s">
        <v>1140</v>
      </c>
      <c r="C715" s="0" t="s">
        <v>1096</v>
      </c>
      <c r="E715" s="0" t="s">
        <v>1096</v>
      </c>
      <c r="F715" s="0" t="s">
        <v>1134</v>
      </c>
      <c r="H715" s="0" t="n">
        <v>1613</v>
      </c>
      <c r="I715" s="0" t="s">
        <v>639</v>
      </c>
      <c r="J715" s="0" t="s">
        <v>36</v>
      </c>
      <c r="K715" s="0" t="s">
        <v>36</v>
      </c>
      <c r="P715" s="0" t="s">
        <v>1140</v>
      </c>
      <c r="R715" s="0" t="s">
        <v>51</v>
      </c>
      <c r="S715" s="0" t="s">
        <v>84</v>
      </c>
      <c r="T715" s="0" t="n">
        <v>3</v>
      </c>
      <c r="U715" s="0" t="s">
        <v>1123</v>
      </c>
      <c r="V715" s="0" t="s">
        <v>1100</v>
      </c>
      <c r="Z715" s="0" t="str">
        <f aca="false">HYPERLINK("http://lutemusic.org/composers/Campion/songs/book_2/05_where_she_her_sacred_bowers_adornes/where_she_her_sacred_bower_adorns_VB.ft3")</f>
        <v>http://lutemusic.org/composers/Campion/songs/book_2/05_where_she_her_sacred_bowers_adornes/where_she_her_sacred_bower_adorns_VB.ft3</v>
      </c>
      <c r="AA715" s="0" t="str">
        <f aca="false">HYPERLINK("http://lutemusic.org/composers/Campion/songs/book_2/05_where_she_her_sacred_bowers_adornes/pdf/where_she_her_sacred_bower_adorns_VB.pdf")</f>
        <v>http://lutemusic.org/composers/Campion/songs/book_2/05_where_she_her_sacred_bowers_adornes/pdf/where_she_her_sacred_bower_adorns_VB.pdf</v>
      </c>
      <c r="AB715" s="0" t="str">
        <f aca="false">HYPERLINK("http://lutemusic.org/composers/Campion/songs/book_2/05_where_she_her_sacred_bowers_adornes/midi/where_she_her_sacred_bower_adorns_VB.mid")</f>
        <v>http://lutemusic.org/composers/Campion/songs/book_2/05_where_she_her_sacred_bowers_adornes/midi/where_she_her_sacred_bower_adorns_VB.mid</v>
      </c>
      <c r="AC715" s="0" t="n">
        <v>1573937409</v>
      </c>
      <c r="AD715" s="0" t="n">
        <v>1586042064</v>
      </c>
    </row>
    <row r="716" customFormat="false" ht="12.8" hidden="false" customHeight="false" outlineLevel="0" collapsed="false">
      <c r="A716" s="0" t="s">
        <v>1141</v>
      </c>
      <c r="C716" s="0" t="s">
        <v>1096</v>
      </c>
      <c r="E716" s="0" t="s">
        <v>1096</v>
      </c>
      <c r="F716" s="0" t="s">
        <v>1134</v>
      </c>
      <c r="H716" s="0" t="n">
        <v>1613</v>
      </c>
      <c r="I716" s="0" t="s">
        <v>655</v>
      </c>
      <c r="J716" s="0" t="s">
        <v>36</v>
      </c>
      <c r="K716" s="0" t="s">
        <v>36</v>
      </c>
      <c r="P716" s="0" t="s">
        <v>1141</v>
      </c>
      <c r="R716" s="0" t="s">
        <v>51</v>
      </c>
      <c r="S716" s="0" t="s">
        <v>84</v>
      </c>
      <c r="T716" s="0" t="n">
        <v>2</v>
      </c>
      <c r="U716" s="0" t="s">
        <v>1123</v>
      </c>
      <c r="V716" s="0" t="s">
        <v>990</v>
      </c>
      <c r="Z716" s="0" t="str">
        <f aca="false">HYPERLINK("http://lutemusic.org/composers/Campion/songs/book_2/06_fain_would_i_my_love_disclose/fain_would_i_my_love_disclose.ft3")</f>
        <v>http://lutemusic.org/composers/Campion/songs/book_2/06_fain_would_i_my_love_disclose/fain_would_i_my_love_disclose.ft3</v>
      </c>
      <c r="AA716" s="0" t="str">
        <f aca="false">HYPERLINK("http://lutemusic.org/composers/Campion/songs/book_2/06_fain_would_i_my_love_disclose/pdf/fain_would_i_my_love_disclose.pdf")</f>
        <v>http://lutemusic.org/composers/Campion/songs/book_2/06_fain_would_i_my_love_disclose/pdf/fain_would_i_my_love_disclose.pdf</v>
      </c>
      <c r="AB716" s="0" t="str">
        <f aca="false">HYPERLINK("http://lutemusic.org/composers/Campion/songs/book_2/06_fain_would_i_my_love_disclose/midi/fain_would_i_my_love_disclose.mid")</f>
        <v>http://lutemusic.org/composers/Campion/songs/book_2/06_fain_would_i_my_love_disclose/midi/fain_would_i_my_love_disclose.mid</v>
      </c>
      <c r="AC716" s="0" t="n">
        <v>1573937409</v>
      </c>
      <c r="AD716" s="0" t="n">
        <v>1586042064</v>
      </c>
    </row>
    <row r="717" customFormat="false" ht="12.8" hidden="false" customHeight="false" outlineLevel="0" collapsed="false">
      <c r="A717" s="0" t="s">
        <v>1141</v>
      </c>
      <c r="C717" s="0" t="s">
        <v>1096</v>
      </c>
      <c r="E717" s="0" t="s">
        <v>1096</v>
      </c>
      <c r="F717" s="0" t="s">
        <v>1134</v>
      </c>
      <c r="H717" s="0" t="n">
        <v>1613</v>
      </c>
      <c r="I717" s="0" t="s">
        <v>655</v>
      </c>
      <c r="J717" s="0" t="s">
        <v>36</v>
      </c>
      <c r="K717" s="0" t="s">
        <v>36</v>
      </c>
      <c r="P717" s="0" t="s">
        <v>1141</v>
      </c>
      <c r="R717" s="0" t="s">
        <v>51</v>
      </c>
      <c r="S717" s="0" t="s">
        <v>84</v>
      </c>
      <c r="T717" s="0" t="n">
        <v>2</v>
      </c>
      <c r="U717" s="0" t="s">
        <v>1123</v>
      </c>
      <c r="V717" s="0" t="s">
        <v>1124</v>
      </c>
      <c r="Z717" s="0" t="str">
        <f aca="false">HYPERLINK("http://lutemusic.org/composers/Campion/songs/book_2/06_fain_would_i_my_love_disclose/fain_would_i_my_love_disclose_3.ft3")</f>
        <v>http://lutemusic.org/composers/Campion/songs/book_2/06_fain_would_i_my_love_disclose/fain_would_i_my_love_disclose_3.ft3</v>
      </c>
      <c r="AA717" s="0" t="str">
        <f aca="false">HYPERLINK("http://lutemusic.org/composers/Campion/songs/book_2/06_fain_would_i_my_love_disclose/pdf/fain_would_i_my_love_disclose_3.pdf")</f>
        <v>http://lutemusic.org/composers/Campion/songs/book_2/06_fain_would_i_my_love_disclose/pdf/fain_would_i_my_love_disclose_3.pdf</v>
      </c>
      <c r="AB717" s="0" t="str">
        <f aca="false">HYPERLINK("http://lutemusic.org/composers/Campion/songs/book_2/06_fain_would_i_my_love_disclose/midi/fain_would_i_my_love_disclose_3.mid")</f>
        <v>http://lutemusic.org/composers/Campion/songs/book_2/06_fain_would_i_my_love_disclose/midi/fain_would_i_my_love_disclose_3.mid</v>
      </c>
      <c r="AC717" s="0" t="n">
        <v>1573937409</v>
      </c>
      <c r="AD717" s="0" t="n">
        <v>1586042064</v>
      </c>
    </row>
    <row r="718" customFormat="false" ht="12.8" hidden="false" customHeight="false" outlineLevel="0" collapsed="false">
      <c r="A718" s="0" t="s">
        <v>1141</v>
      </c>
      <c r="C718" s="0" t="s">
        <v>1096</v>
      </c>
      <c r="E718" s="0" t="s">
        <v>1096</v>
      </c>
      <c r="F718" s="0" t="s">
        <v>1134</v>
      </c>
      <c r="H718" s="0" t="n">
        <v>1613</v>
      </c>
      <c r="I718" s="0" t="s">
        <v>655</v>
      </c>
      <c r="J718" s="0" t="s">
        <v>36</v>
      </c>
      <c r="K718" s="0" t="s">
        <v>36</v>
      </c>
      <c r="P718" s="0" t="s">
        <v>1141</v>
      </c>
      <c r="R718" s="0" t="s">
        <v>51</v>
      </c>
      <c r="S718" s="0" t="s">
        <v>84</v>
      </c>
      <c r="T718" s="0" t="n">
        <v>2</v>
      </c>
      <c r="U718" s="0" t="s">
        <v>1123</v>
      </c>
      <c r="V718" s="0" t="s">
        <v>40</v>
      </c>
      <c r="Z718" s="0" t="str">
        <f aca="false">HYPERLINK("http://lutemusic.org/composers/Campion/songs/book_2/06_fain_would_i_my_love_disclose/fain_would_i_my_love_disclose_S.ft3")</f>
        <v>http://lutemusic.org/composers/Campion/songs/book_2/06_fain_would_i_my_love_disclose/fain_would_i_my_love_disclose_S.ft3</v>
      </c>
      <c r="AA718" s="0" t="str">
        <f aca="false">HYPERLINK("http://lutemusic.org/composers/Campion/songs/book_2/06_fain_would_i_my_love_disclose/pdf/fain_would_i_my_love_disclose_S.pdf")</f>
        <v>http://lutemusic.org/composers/Campion/songs/book_2/06_fain_would_i_my_love_disclose/pdf/fain_would_i_my_love_disclose_S.pdf</v>
      </c>
      <c r="AB718" s="0" t="str">
        <f aca="false">HYPERLINK("http://lutemusic.org/composers/Campion/songs/book_2/06_fain_would_i_my_love_disclose/midi/fain_would_i_my_love_disclose_S.mid")</f>
        <v>http://lutemusic.org/composers/Campion/songs/book_2/06_fain_would_i_my_love_disclose/midi/fain_would_i_my_love_disclose_S.mid</v>
      </c>
      <c r="AC718" s="0" t="n">
        <v>1573937409</v>
      </c>
      <c r="AD718" s="0" t="n">
        <v>1586042064</v>
      </c>
    </row>
    <row r="719" customFormat="false" ht="12.8" hidden="false" customHeight="false" outlineLevel="0" collapsed="false">
      <c r="A719" s="0" t="s">
        <v>1141</v>
      </c>
      <c r="C719" s="0" t="s">
        <v>1096</v>
      </c>
      <c r="E719" s="0" t="s">
        <v>1096</v>
      </c>
      <c r="F719" s="0" t="s">
        <v>1134</v>
      </c>
      <c r="H719" s="0" t="n">
        <v>1613</v>
      </c>
      <c r="I719" s="0" t="s">
        <v>655</v>
      </c>
      <c r="J719" s="0" t="s">
        <v>36</v>
      </c>
      <c r="K719" s="0" t="s">
        <v>36</v>
      </c>
      <c r="P719" s="0" t="s">
        <v>1141</v>
      </c>
      <c r="R719" s="0" t="s">
        <v>51</v>
      </c>
      <c r="S719" s="0" t="s">
        <v>84</v>
      </c>
      <c r="T719" s="0" t="n">
        <v>2</v>
      </c>
      <c r="U719" s="0" t="s">
        <v>1123</v>
      </c>
      <c r="V719" s="0" t="s">
        <v>63</v>
      </c>
      <c r="Z719" s="0" t="str">
        <f aca="false">HYPERLINK("http://lutemusic.org/composers/Campion/songs/book_2/06_fain_would_i_my_love_disclose/fain_would_i_my_love_disclose_T.ft3")</f>
        <v>http://lutemusic.org/composers/Campion/songs/book_2/06_fain_would_i_my_love_disclose/fain_would_i_my_love_disclose_T.ft3</v>
      </c>
      <c r="AA719" s="0" t="str">
        <f aca="false">HYPERLINK("http://lutemusic.org/composers/Campion/songs/book_2/06_fain_would_i_my_love_disclose/pdf/fain_would_i_my_love_disclose_T.pdf")</f>
        <v>http://lutemusic.org/composers/Campion/songs/book_2/06_fain_would_i_my_love_disclose/pdf/fain_would_i_my_love_disclose_T.pdf</v>
      </c>
      <c r="AB719" s="0" t="str">
        <f aca="false">HYPERLINK("http://lutemusic.org/composers/Campion/songs/book_2/06_fain_would_i_my_love_disclose/midi/fain_would_i_my_love_disclose_T.mid")</f>
        <v>http://lutemusic.org/composers/Campion/songs/book_2/06_fain_would_i_my_love_disclose/midi/fain_would_i_my_love_disclose_T.mid</v>
      </c>
      <c r="AC719" s="0" t="n">
        <v>1573937409</v>
      </c>
      <c r="AD719" s="0" t="n">
        <v>1586042064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2021-09-17T09:14:14Z</dcterms:modified>
  <cp:revision>1</cp:revision>
  <dc:subject/>
  <dc:title/>
</cp:coreProperties>
</file>